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831"/>
  <workbookPr defaultThemeVersion="124226"/>
  <bookViews>
    <workbookView xWindow="65416" yWindow="65416" windowWidth="29040" windowHeight="15990" activeTab="0"/>
  </bookViews>
  <sheets>
    <sheet name="MPC 30.11.2022." sheetId="13" r:id="rId1"/>
  </sheets>
  <definedNames>
    <definedName name="_xlnm.Print_Area" localSheetId="0">'MPC 30.11.2022.'!$A$1:$L$90</definedName>
    <definedName name="_xlnm.Print_Titles" localSheetId="0">'MPC 30.11.2022.'!$1:$1</definedName>
  </definedNames>
  <calcPr calcId="191029"/>
  <extLst/>
</workbook>
</file>

<file path=xl/sharedStrings.xml><?xml version="1.0" encoding="utf-8"?>
<sst xmlns="http://schemas.openxmlformats.org/spreadsheetml/2006/main" count="189" uniqueCount="105">
  <si>
    <t>R. Br.</t>
  </si>
  <si>
    <t>Marka</t>
  </si>
  <si>
    <t>Trgovački naziv</t>
  </si>
  <si>
    <t>PIAGGIO</t>
  </si>
  <si>
    <t>VESPA</t>
  </si>
  <si>
    <t>APRILIA</t>
  </si>
  <si>
    <t>MOTO GUZZI</t>
  </si>
  <si>
    <t>Preporučena maloprodajna cijena (PDV uključen) bez posebnog poreza</t>
  </si>
  <si>
    <t>Liberty 50 i-get</t>
  </si>
  <si>
    <t>Liberty 125 i-get</t>
  </si>
  <si>
    <t>Liberty 150 i-get</t>
  </si>
  <si>
    <t>V9 Bobber</t>
  </si>
  <si>
    <t>Radni obujam motora</t>
  </si>
  <si>
    <t>Preporučena maloprodajna cijena s posebnim porezom na motorna vozila</t>
  </si>
  <si>
    <t>Tuono V4 1100 R</t>
  </si>
  <si>
    <t>Tuono V4 1100 R Factory</t>
  </si>
  <si>
    <t>Zip 50 4T 3V</t>
  </si>
  <si>
    <t>Vespa Elettrica 45 km/h</t>
  </si>
  <si>
    <t>Vespa Elettrica 70 km/h</t>
  </si>
  <si>
    <t>Medley 125 i-get</t>
  </si>
  <si>
    <t>Medley S 125 i-get</t>
  </si>
  <si>
    <t>Medley 150 i-get</t>
  </si>
  <si>
    <t>Medley S 150 i-get</t>
  </si>
  <si>
    <t>RS 660</t>
  </si>
  <si>
    <t>Liberty S 50 i-get</t>
  </si>
  <si>
    <t>Liberty S 125 i-get</t>
  </si>
  <si>
    <t>V7 Stone</t>
  </si>
  <si>
    <t>V7 Special</t>
  </si>
  <si>
    <t>RSV4 1100 R</t>
  </si>
  <si>
    <t>RSV4 1100 Factory</t>
  </si>
  <si>
    <t>Tuono 660</t>
  </si>
  <si>
    <t>Beverly 300 HPE</t>
  </si>
  <si>
    <t>Beverly S 300 HPE</t>
  </si>
  <si>
    <t>Beverly 400 HPE</t>
  </si>
  <si>
    <t>Beverly S 400 HPE</t>
  </si>
  <si>
    <t xml:space="preserve">Vespa Primavera 50 4T iget </t>
  </si>
  <si>
    <t>Vespa Primavera 50 4T iget S</t>
  </si>
  <si>
    <t>Vespa Primavera 50 4T iget Touring</t>
  </si>
  <si>
    <t>Vespa Sprint 50 4T iget</t>
  </si>
  <si>
    <t>Vespa Primavera 125 i-get</t>
  </si>
  <si>
    <t>Vespa Primavera 125 i-get Touring</t>
  </si>
  <si>
    <t>Vespa Primavera 125 i-get S</t>
  </si>
  <si>
    <t>* informativni izračun posebnog poreza na motorna vozila</t>
  </si>
  <si>
    <t>Razina emisija ispušnih plinova (Euro norma)</t>
  </si>
  <si>
    <t>Koeficijent obujma motora uvećan za razinu ispušnih plinova (Euro normu)</t>
  </si>
  <si>
    <t>RX 125</t>
  </si>
  <si>
    <t>SX 125</t>
  </si>
  <si>
    <t>My Moover 125</t>
  </si>
  <si>
    <t>MP3 400 HPE</t>
  </si>
  <si>
    <t>MP3 400 HPE Sport</t>
  </si>
  <si>
    <t>Tuono 125</t>
  </si>
  <si>
    <t>RS4 125</t>
  </si>
  <si>
    <t>SXR 50</t>
  </si>
  <si>
    <t>Piaggio 1</t>
  </si>
  <si>
    <t>Piaggio 1+</t>
  </si>
  <si>
    <t>Piaggio 1 Active</t>
  </si>
  <si>
    <t>Posebni porez na motorna vozila **</t>
  </si>
  <si>
    <t>RS 660 35 kW</t>
  </si>
  <si>
    <t>Tuareg 660</t>
  </si>
  <si>
    <t>Tuareg 660 Evocative</t>
  </si>
  <si>
    <t>Zip S 50 4T 3V</t>
  </si>
  <si>
    <t>SR GT 125</t>
  </si>
  <si>
    <t>SR GT 200</t>
  </si>
  <si>
    <t>Liberty S 150 i-get</t>
  </si>
  <si>
    <t>MP3 300 HPE</t>
  </si>
  <si>
    <t>MP3 300 HPE Sport</t>
  </si>
  <si>
    <t>Vespa Primavera 125 i-get RED</t>
  </si>
  <si>
    <t>SR GT 125 Sport</t>
  </si>
  <si>
    <t>SR GT 200 Sport</t>
  </si>
  <si>
    <t>RS4 125 GP Replica</t>
  </si>
  <si>
    <t>Tuono 660 Acid Gold</t>
  </si>
  <si>
    <t>Tuono 660 Factory</t>
  </si>
  <si>
    <t>RS 660 Acid Gold</t>
  </si>
  <si>
    <t>RS 660 35 kW Acid Gold</t>
  </si>
  <si>
    <t>RS 660 LE</t>
  </si>
  <si>
    <t>V9 Roamer</t>
  </si>
  <si>
    <t>V85 TT 850</t>
  </si>
  <si>
    <t>V85 TT Evocative 850</t>
  </si>
  <si>
    <t>V85 TT Travel 850</t>
  </si>
  <si>
    <t>V85 TT Guardia d'Onore 850</t>
  </si>
  <si>
    <t>MP3 530 Exclusive</t>
  </si>
  <si>
    <t>Piaggio 1 PMP</t>
  </si>
  <si>
    <t>Piaggio 1 FCW</t>
  </si>
  <si>
    <t>Piaggio 1+ PMP</t>
  </si>
  <si>
    <t>Piaggio 1 Active PMP</t>
  </si>
  <si>
    <t>Piaggio 1 FCW Active</t>
  </si>
  <si>
    <t>Vespa Elettrica 45 km/h RED</t>
  </si>
  <si>
    <t>Vespa Elettrica 70 km/h RED</t>
  </si>
  <si>
    <t>Vespa Primavera 50 4T iget RED</t>
  </si>
  <si>
    <t>V7 Stone Special Edition</t>
  </si>
  <si>
    <t>Preporučena maloprodajna cijena s posebnim porezom na motorna vozila (€)</t>
  </si>
  <si>
    <t>Posebni porez na motorna vozila **  (€)</t>
  </si>
  <si>
    <t>Preporučena maloprodajna cijena (PDV uključen) bez posebnog poreza  (€)</t>
  </si>
  <si>
    <t>V100 Mandello</t>
  </si>
  <si>
    <t>V100 Mandello S</t>
  </si>
  <si>
    <t>Vespa GTS 125</t>
  </si>
  <si>
    <t>Vespa GTS Super 125</t>
  </si>
  <si>
    <t>Vespa GTS Super Sport 125</t>
  </si>
  <si>
    <t>Vespa GTS Super Tech 125</t>
  </si>
  <si>
    <t>Vespa GTS 300</t>
  </si>
  <si>
    <t>Vespa GTS Super 300</t>
  </si>
  <si>
    <t>Vespa GTS Super Sport 300</t>
  </si>
  <si>
    <t>Vespa GTS Super Tech 300</t>
  </si>
  <si>
    <t>Vespa Primavera 125 i-get Pic Nic</t>
  </si>
  <si>
    <t>Vespa Sprint 125 i-get 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</si>
</sst>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_(* #,##0.00_);_(* \(#,##0.00\);_(* &quot;-&quot;??_);_(@_)"/>
    <numFmt numFmtId="166" formatCode="#,##0.00\ &quot;kn&quot;"/>
    <numFmt numFmtId="167" formatCode="#,##0.00\ [$€-1]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 vertical="center" wrapText="1"/>
    </xf>
    <xf numFmtId="166" fontId="0" fillId="2" borderId="1" xfId="0" applyNumberFormat="1" applyFill="1" applyBorder="1" applyAlignment="1">
      <alignment horizontal="center" vertical="center" wrapText="1"/>
    </xf>
    <xf numFmtId="0" fontId="3" fillId="3" borderId="1" xfId="21" applyFont="1" applyFill="1" applyBorder="1" applyAlignment="1">
      <alignment horizontal="center" vertical="center" wrapText="1"/>
      <protection/>
    </xf>
    <xf numFmtId="0" fontId="2" fillId="4" borderId="1" xfId="21" applyFont="1" applyFill="1" applyBorder="1" applyAlignment="1">
      <alignment horizontal="left" vertical="center" wrapText="1"/>
      <protection/>
    </xf>
    <xf numFmtId="167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_Cjenik HR skuteri i moto 2000" xfId="21"/>
    <cellStyle name="Comma 2 2" xfId="22"/>
    <cellStyle name="Normal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B6EF8-6CFD-4448-97C6-632F685431FE}">
  <sheetPr>
    <pageSetUpPr fitToPage="1"/>
  </sheetPr>
  <dimension ref="A1:M93"/>
  <sheetViews>
    <sheetView tabSelected="1" zoomScale="80" zoomScaleNormal="80" workbookViewId="0" topLeftCell="A1">
      <pane xSplit="3" ySplit="1" topLeftCell="D2" activePane="bottomRight" state="frozen"/>
      <selection pane="topRight" activeCell="D1" sqref="D1"/>
      <selection pane="bottomLeft" activeCell="A3" sqref="A3"/>
      <selection pane="bottomRight" activeCell="R20" sqref="R20"/>
    </sheetView>
  </sheetViews>
  <sheetFormatPr defaultColWidth="9.140625" defaultRowHeight="15"/>
  <cols>
    <col min="1" max="1" width="6.28125" style="1" bestFit="1" customWidth="1"/>
    <col min="2" max="2" width="13.7109375" style="1" bestFit="1" customWidth="1"/>
    <col min="3" max="3" width="47.28125" style="2" customWidth="1"/>
    <col min="4" max="4" width="14.7109375" style="1" customWidth="1"/>
    <col min="5" max="5" width="15.57421875" style="1" customWidth="1"/>
    <col min="6" max="6" width="19.57421875" style="1" customWidth="1"/>
    <col min="7" max="7" width="21.28125" style="1" customWidth="1"/>
    <col min="8" max="9" width="21.28125" style="1" hidden="1" customWidth="1"/>
    <col min="10" max="10" width="21.28125" style="1" customWidth="1"/>
    <col min="11" max="12" width="21.28125" style="1" hidden="1" customWidth="1"/>
    <col min="13" max="16384" width="9.140625" style="1" customWidth="1"/>
  </cols>
  <sheetData>
    <row r="1" spans="1:13" ht="78.75">
      <c r="A1" s="3" t="s">
        <v>0</v>
      </c>
      <c r="B1" s="3" t="s">
        <v>1</v>
      </c>
      <c r="C1" s="3" t="s">
        <v>2</v>
      </c>
      <c r="D1" s="3" t="s">
        <v>12</v>
      </c>
      <c r="E1" s="3" t="s">
        <v>43</v>
      </c>
      <c r="F1" s="3" t="s">
        <v>44</v>
      </c>
      <c r="G1" s="8" t="s">
        <v>13</v>
      </c>
      <c r="H1" s="8" t="s">
        <v>56</v>
      </c>
      <c r="I1" s="8" t="s">
        <v>7</v>
      </c>
      <c r="J1" s="8" t="s">
        <v>90</v>
      </c>
      <c r="K1" s="8" t="s">
        <v>91</v>
      </c>
      <c r="L1" s="8" t="s">
        <v>92</v>
      </c>
      <c r="M1" s="1">
        <v>7.5345</v>
      </c>
    </row>
    <row r="2" spans="1:12" ht="15.75">
      <c r="A2" s="4">
        <v>1</v>
      </c>
      <c r="B2" s="4" t="s">
        <v>3</v>
      </c>
      <c r="C2" s="9" t="s">
        <v>16</v>
      </c>
      <c r="D2" s="6">
        <v>50</v>
      </c>
      <c r="E2" s="6">
        <v>5</v>
      </c>
      <c r="F2" s="6">
        <f aca="true" t="shared" si="0" ref="F2:F64">IF(D2&lt;=50,0,IF(AND(D2&gt;51,D2&lt;=125),4,IF(AND(D2&gt;126,D2&lt;=300),6,IF(AND(D2&gt;301,D2&lt;=700),7,IF(AND(D2&gt;701,D2&lt;=1000),8,IF((D2&gt;1001),10,0))))))+IF(D2&lt;=50,0,IF(E2=1,15,IF(E2=2,10,IF(E2=3,5,0))))</f>
        <v>0</v>
      </c>
      <c r="G2" s="7">
        <f>+H2+I2</f>
        <v>15040</v>
      </c>
      <c r="H2" s="7">
        <f aca="true" t="shared" si="1" ref="H2:H37">D2*F2</f>
        <v>0</v>
      </c>
      <c r="I2" s="7">
        <f>14790+200+50</f>
        <v>15040</v>
      </c>
      <c r="J2" s="10">
        <f>+G2/$M$1</f>
        <v>1996.1510385559757</v>
      </c>
      <c r="K2" s="10">
        <f aca="true" t="shared" si="2" ref="K2">+H2/$M$1</f>
        <v>0</v>
      </c>
      <c r="L2" s="10">
        <f>+I2/$M$1</f>
        <v>1996.1510385559757</v>
      </c>
    </row>
    <row r="3" spans="1:12" ht="15.75">
      <c r="A3" s="4">
        <v>2</v>
      </c>
      <c r="B3" s="4" t="s">
        <v>3</v>
      </c>
      <c r="C3" s="9" t="s">
        <v>60</v>
      </c>
      <c r="D3" s="6">
        <v>50</v>
      </c>
      <c r="E3" s="6">
        <v>5</v>
      </c>
      <c r="F3" s="6">
        <f t="shared" si="0"/>
        <v>0</v>
      </c>
      <c r="G3" s="7">
        <f>+H3+I3</f>
        <v>15440</v>
      </c>
      <c r="H3" s="7">
        <f t="shared" si="1"/>
        <v>0</v>
      </c>
      <c r="I3" s="7">
        <f>15190+200+50</f>
        <v>15440</v>
      </c>
      <c r="J3" s="10">
        <f aca="true" t="shared" si="3" ref="J3:J67">+G3/$M$1</f>
        <v>2049.2401619218263</v>
      </c>
      <c r="K3" s="10">
        <f aca="true" t="shared" si="4" ref="K3:K67">+H3/$M$1</f>
        <v>0</v>
      </c>
      <c r="L3" s="10">
        <f>+I3/$M$1</f>
        <v>2049.2401619218263</v>
      </c>
    </row>
    <row r="4" spans="1:12" ht="15.75">
      <c r="A4" s="4">
        <v>3</v>
      </c>
      <c r="B4" s="4" t="s">
        <v>3</v>
      </c>
      <c r="C4" s="9" t="s">
        <v>8</v>
      </c>
      <c r="D4" s="6">
        <v>50</v>
      </c>
      <c r="E4" s="6">
        <v>5</v>
      </c>
      <c r="F4" s="6">
        <f t="shared" si="0"/>
        <v>0</v>
      </c>
      <c r="G4" s="7">
        <f>+H4+I4</f>
        <v>20240</v>
      </c>
      <c r="H4" s="7">
        <f t="shared" si="1"/>
        <v>0</v>
      </c>
      <c r="I4" s="7">
        <f>19990+200+50</f>
        <v>20240</v>
      </c>
      <c r="J4" s="10">
        <f t="shared" si="3"/>
        <v>2686.309642312031</v>
      </c>
      <c r="K4" s="10">
        <f t="shared" si="4"/>
        <v>0</v>
      </c>
      <c r="L4" s="10">
        <f>+I4/$M$1</f>
        <v>2686.309642312031</v>
      </c>
    </row>
    <row r="5" spans="1:12" ht="15.75">
      <c r="A5" s="4">
        <v>4</v>
      </c>
      <c r="B5" s="4" t="s">
        <v>3</v>
      </c>
      <c r="C5" s="9" t="s">
        <v>24</v>
      </c>
      <c r="D5" s="6">
        <v>50</v>
      </c>
      <c r="E5" s="6">
        <v>5</v>
      </c>
      <c r="F5" s="6">
        <f t="shared" si="0"/>
        <v>0</v>
      </c>
      <c r="G5" s="7">
        <f>+H5+I5</f>
        <v>20560</v>
      </c>
      <c r="H5" s="7">
        <f t="shared" si="1"/>
        <v>0</v>
      </c>
      <c r="I5" s="7">
        <f>20310+200+50</f>
        <v>20560</v>
      </c>
      <c r="J5" s="10">
        <f t="shared" si="3"/>
        <v>2728.7809410047116</v>
      </c>
      <c r="K5" s="10">
        <f t="shared" si="4"/>
        <v>0</v>
      </c>
      <c r="L5" s="10">
        <f>+I5/$M$1</f>
        <v>2728.7809410047116</v>
      </c>
    </row>
    <row r="6" spans="1:12" ht="15.75">
      <c r="A6" s="4">
        <v>5</v>
      </c>
      <c r="B6" s="4" t="s">
        <v>3</v>
      </c>
      <c r="C6" s="9" t="s">
        <v>9</v>
      </c>
      <c r="D6" s="6">
        <v>124</v>
      </c>
      <c r="E6" s="6">
        <v>5</v>
      </c>
      <c r="F6" s="6">
        <f t="shared" si="0"/>
        <v>4</v>
      </c>
      <c r="G6" s="7">
        <f>+H6+I6</f>
        <v>24240</v>
      </c>
      <c r="H6" s="7">
        <f t="shared" si="1"/>
        <v>496</v>
      </c>
      <c r="I6" s="7">
        <f>23494+200+50</f>
        <v>23744</v>
      </c>
      <c r="J6" s="10">
        <f t="shared" si="3"/>
        <v>3217.2008759705354</v>
      </c>
      <c r="K6" s="10">
        <f t="shared" si="4"/>
        <v>65.83051297365452</v>
      </c>
      <c r="L6" s="10">
        <f>+I6/$M$1</f>
        <v>3151.370362996881</v>
      </c>
    </row>
    <row r="7" spans="1:12" ht="15.75">
      <c r="A7" s="4">
        <v>6</v>
      </c>
      <c r="B7" s="4" t="s">
        <v>3</v>
      </c>
      <c r="C7" s="9" t="s">
        <v>25</v>
      </c>
      <c r="D7" s="6">
        <v>124</v>
      </c>
      <c r="E7" s="6">
        <v>5</v>
      </c>
      <c r="F7" s="6">
        <f t="shared" si="0"/>
        <v>4</v>
      </c>
      <c r="G7" s="7">
        <f>+H7+I7</f>
        <v>24600</v>
      </c>
      <c r="H7" s="7">
        <f t="shared" si="1"/>
        <v>496</v>
      </c>
      <c r="I7" s="7">
        <f>23854+200+50</f>
        <v>24104</v>
      </c>
      <c r="J7" s="10">
        <f t="shared" si="3"/>
        <v>3264.981086999801</v>
      </c>
      <c r="K7" s="10">
        <f t="shared" si="4"/>
        <v>65.83051297365452</v>
      </c>
      <c r="L7" s="10">
        <f>+I7/$M$1</f>
        <v>3199.1505740261464</v>
      </c>
    </row>
    <row r="8" spans="1:12" ht="15.75">
      <c r="A8" s="4">
        <v>7</v>
      </c>
      <c r="B8" s="4" t="s">
        <v>3</v>
      </c>
      <c r="C8" s="9" t="s">
        <v>19</v>
      </c>
      <c r="D8" s="6">
        <v>125</v>
      </c>
      <c r="E8" s="6">
        <v>5</v>
      </c>
      <c r="F8" s="6">
        <f t="shared" si="0"/>
        <v>4</v>
      </c>
      <c r="G8" s="7">
        <f>+H8+I8</f>
        <v>29950</v>
      </c>
      <c r="H8" s="7">
        <f t="shared" si="1"/>
        <v>500</v>
      </c>
      <c r="I8" s="7">
        <f>29200+200+50</f>
        <v>29450</v>
      </c>
      <c r="J8" s="10">
        <f t="shared" si="3"/>
        <v>3975.0481120180502</v>
      </c>
      <c r="K8" s="10">
        <f t="shared" si="4"/>
        <v>66.36140420731303</v>
      </c>
      <c r="L8" s="10">
        <f>+I8/$M$1</f>
        <v>3908.686707810737</v>
      </c>
    </row>
    <row r="9" spans="1:12" ht="15.75">
      <c r="A9" s="4">
        <v>8</v>
      </c>
      <c r="B9" s="4" t="s">
        <v>3</v>
      </c>
      <c r="C9" s="9" t="s">
        <v>20</v>
      </c>
      <c r="D9" s="6">
        <v>125</v>
      </c>
      <c r="E9" s="6">
        <v>5</v>
      </c>
      <c r="F9" s="6">
        <f t="shared" si="0"/>
        <v>4</v>
      </c>
      <c r="G9" s="7">
        <f>+H9+I9</f>
        <v>30450</v>
      </c>
      <c r="H9" s="7">
        <f t="shared" si="1"/>
        <v>500</v>
      </c>
      <c r="I9" s="7">
        <f>29700+200+50</f>
        <v>29950</v>
      </c>
      <c r="J9" s="10">
        <f t="shared" si="3"/>
        <v>4041.409516225363</v>
      </c>
      <c r="K9" s="10">
        <f t="shared" si="4"/>
        <v>66.36140420731303</v>
      </c>
      <c r="L9" s="10">
        <f>+I9/$M$1</f>
        <v>3975.0481120180502</v>
      </c>
    </row>
    <row r="10" spans="1:12" ht="15.75">
      <c r="A10" s="4">
        <v>9</v>
      </c>
      <c r="B10" s="4" t="s">
        <v>3</v>
      </c>
      <c r="C10" s="9" t="s">
        <v>47</v>
      </c>
      <c r="D10" s="6">
        <v>125</v>
      </c>
      <c r="E10" s="6">
        <v>5</v>
      </c>
      <c r="F10" s="6">
        <f t="shared" si="0"/>
        <v>4</v>
      </c>
      <c r="G10" s="7">
        <f>+H10+I10</f>
        <v>52350</v>
      </c>
      <c r="H10" s="7">
        <f t="shared" si="1"/>
        <v>500</v>
      </c>
      <c r="I10" s="7">
        <f>51600+200+50</f>
        <v>51850</v>
      </c>
      <c r="J10" s="10">
        <f t="shared" si="3"/>
        <v>6948.039020505674</v>
      </c>
      <c r="K10" s="10">
        <f t="shared" si="4"/>
        <v>66.36140420731303</v>
      </c>
      <c r="L10" s="10">
        <f>+I10/$M$1</f>
        <v>6881.677616298361</v>
      </c>
    </row>
    <row r="11" spans="1:12" ht="15.75">
      <c r="A11" s="4">
        <v>10</v>
      </c>
      <c r="B11" s="4" t="s">
        <v>3</v>
      </c>
      <c r="C11" s="9" t="s">
        <v>10</v>
      </c>
      <c r="D11" s="6">
        <v>155</v>
      </c>
      <c r="E11" s="6">
        <v>5</v>
      </c>
      <c r="F11" s="6">
        <f t="shared" si="0"/>
        <v>6</v>
      </c>
      <c r="G11" s="7">
        <f>+H11+I11</f>
        <v>26240</v>
      </c>
      <c r="H11" s="7">
        <f t="shared" si="1"/>
        <v>930</v>
      </c>
      <c r="I11" s="7">
        <f>25060+200+50</f>
        <v>25310</v>
      </c>
      <c r="J11" s="10">
        <f t="shared" si="3"/>
        <v>3482.6464927997877</v>
      </c>
      <c r="K11" s="10">
        <f t="shared" si="4"/>
        <v>123.43221182560222</v>
      </c>
      <c r="L11" s="10">
        <f>+I11/$M$1</f>
        <v>3359.2142809741854</v>
      </c>
    </row>
    <row r="12" spans="1:12" ht="15.75">
      <c r="A12" s="4">
        <v>11</v>
      </c>
      <c r="B12" s="4" t="s">
        <v>3</v>
      </c>
      <c r="C12" s="9" t="s">
        <v>63</v>
      </c>
      <c r="D12" s="6">
        <v>155</v>
      </c>
      <c r="E12" s="6">
        <v>5</v>
      </c>
      <c r="F12" s="6">
        <f t="shared" si="0"/>
        <v>6</v>
      </c>
      <c r="G12" s="7">
        <f>+H12+I12</f>
        <v>26600</v>
      </c>
      <c r="H12" s="7">
        <f t="shared" si="1"/>
        <v>930</v>
      </c>
      <c r="I12" s="7">
        <f>25060+200+360+50</f>
        <v>25670</v>
      </c>
      <c r="J12" s="10">
        <f t="shared" si="3"/>
        <v>3530.4267038290527</v>
      </c>
      <c r="K12" s="10">
        <f t="shared" si="4"/>
        <v>123.43221182560222</v>
      </c>
      <c r="L12" s="10">
        <f>+I12/$M$1</f>
        <v>3406.9944920034504</v>
      </c>
    </row>
    <row r="13" spans="1:12" ht="15.75">
      <c r="A13" s="4">
        <v>12</v>
      </c>
      <c r="B13" s="4" t="s">
        <v>3</v>
      </c>
      <c r="C13" s="9" t="s">
        <v>21</v>
      </c>
      <c r="D13" s="6">
        <v>155</v>
      </c>
      <c r="E13" s="6">
        <v>5</v>
      </c>
      <c r="F13" s="6">
        <f t="shared" si="0"/>
        <v>6</v>
      </c>
      <c r="G13" s="7">
        <f>+H13+I13</f>
        <v>30740</v>
      </c>
      <c r="H13" s="7">
        <f t="shared" si="1"/>
        <v>930</v>
      </c>
      <c r="I13" s="7">
        <f>29560+200+50</f>
        <v>29810</v>
      </c>
      <c r="J13" s="10">
        <f t="shared" si="3"/>
        <v>4079.899130665605</v>
      </c>
      <c r="K13" s="10">
        <f t="shared" si="4"/>
        <v>123.43221182560222</v>
      </c>
      <c r="L13" s="10">
        <f>+I13/$M$1</f>
        <v>3956.4669188400026</v>
      </c>
    </row>
    <row r="14" spans="1:12" ht="15.75">
      <c r="A14" s="4">
        <v>13</v>
      </c>
      <c r="B14" s="4" t="s">
        <v>3</v>
      </c>
      <c r="C14" s="9" t="s">
        <v>22</v>
      </c>
      <c r="D14" s="6">
        <v>155</v>
      </c>
      <c r="E14" s="6">
        <v>5</v>
      </c>
      <c r="F14" s="6">
        <f t="shared" si="0"/>
        <v>6</v>
      </c>
      <c r="G14" s="7">
        <f>+H14+I14</f>
        <v>31240</v>
      </c>
      <c r="H14" s="7">
        <f t="shared" si="1"/>
        <v>930</v>
      </c>
      <c r="I14" s="7">
        <f>30060+200+50</f>
        <v>30310</v>
      </c>
      <c r="J14" s="10">
        <f t="shared" si="3"/>
        <v>4146.260534872918</v>
      </c>
      <c r="K14" s="10">
        <f t="shared" si="4"/>
        <v>123.43221182560222</v>
      </c>
      <c r="L14" s="10">
        <f>+I14/$M$1</f>
        <v>4022.8283230473153</v>
      </c>
    </row>
    <row r="15" spans="1:12" ht="15.75">
      <c r="A15" s="4">
        <v>14</v>
      </c>
      <c r="B15" s="4" t="s">
        <v>3</v>
      </c>
      <c r="C15" s="9" t="s">
        <v>31</v>
      </c>
      <c r="D15" s="6">
        <v>278</v>
      </c>
      <c r="E15" s="6">
        <v>5</v>
      </c>
      <c r="F15" s="6">
        <f t="shared" si="0"/>
        <v>6</v>
      </c>
      <c r="G15" s="7">
        <f>+H15+I15</f>
        <v>44240</v>
      </c>
      <c r="H15" s="7">
        <f t="shared" si="1"/>
        <v>1668</v>
      </c>
      <c r="I15" s="7">
        <f>42322+200+50</f>
        <v>42572</v>
      </c>
      <c r="J15" s="10">
        <f t="shared" si="3"/>
        <v>5871.657044263056</v>
      </c>
      <c r="K15" s="10">
        <f t="shared" si="4"/>
        <v>221.38164443559626</v>
      </c>
      <c r="L15" s="10">
        <f>+I15/$M$1</f>
        <v>5650.27539982746</v>
      </c>
    </row>
    <row r="16" spans="1:12" ht="15.75">
      <c r="A16" s="4">
        <v>15</v>
      </c>
      <c r="B16" s="4" t="s">
        <v>3</v>
      </c>
      <c r="C16" s="9" t="s">
        <v>32</v>
      </c>
      <c r="D16" s="6">
        <v>278</v>
      </c>
      <c r="E16" s="6">
        <v>5</v>
      </c>
      <c r="F16" s="6">
        <f t="shared" si="0"/>
        <v>6</v>
      </c>
      <c r="G16" s="7">
        <f>+H16+I16</f>
        <v>44740</v>
      </c>
      <c r="H16" s="7">
        <f t="shared" si="1"/>
        <v>1668</v>
      </c>
      <c r="I16" s="7">
        <f>42822+200+50</f>
        <v>43072</v>
      </c>
      <c r="J16" s="10">
        <f t="shared" si="3"/>
        <v>5938.01844847037</v>
      </c>
      <c r="K16" s="10">
        <f t="shared" si="4"/>
        <v>221.38164443559626</v>
      </c>
      <c r="L16" s="10">
        <f>+I16/$M$1</f>
        <v>5716.636804034773</v>
      </c>
    </row>
    <row r="17" spans="1:12" ht="15.75">
      <c r="A17" s="4">
        <v>16</v>
      </c>
      <c r="B17" s="4" t="s">
        <v>3</v>
      </c>
      <c r="C17" s="9" t="s">
        <v>64</v>
      </c>
      <c r="D17" s="6">
        <v>278</v>
      </c>
      <c r="E17" s="6">
        <v>5</v>
      </c>
      <c r="F17" s="6">
        <f t="shared" si="0"/>
        <v>6</v>
      </c>
      <c r="G17" s="7">
        <f>+H17+I17</f>
        <v>59150</v>
      </c>
      <c r="H17" s="7">
        <f t="shared" si="1"/>
        <v>1668</v>
      </c>
      <c r="I17" s="7">
        <f>57232+200+50</f>
        <v>57482</v>
      </c>
      <c r="J17" s="10">
        <f t="shared" si="3"/>
        <v>7850.554117725131</v>
      </c>
      <c r="K17" s="10">
        <f t="shared" si="4"/>
        <v>221.38164443559626</v>
      </c>
      <c r="L17" s="10">
        <f>+I17/$M$1</f>
        <v>7629.1724732895345</v>
      </c>
    </row>
    <row r="18" spans="1:12" ht="15.75">
      <c r="A18" s="4">
        <v>17</v>
      </c>
      <c r="B18" s="4" t="s">
        <v>3</v>
      </c>
      <c r="C18" s="9" t="s">
        <v>65</v>
      </c>
      <c r="D18" s="6">
        <v>278</v>
      </c>
      <c r="E18" s="6">
        <v>5</v>
      </c>
      <c r="F18" s="6">
        <f t="shared" si="0"/>
        <v>6</v>
      </c>
      <c r="G18" s="7">
        <f>+H18+I18</f>
        <v>60150</v>
      </c>
      <c r="H18" s="7">
        <f t="shared" si="1"/>
        <v>1668</v>
      </c>
      <c r="I18" s="7">
        <f>58232+200+50</f>
        <v>58482</v>
      </c>
      <c r="J18" s="10">
        <f t="shared" si="3"/>
        <v>7983.276926139757</v>
      </c>
      <c r="K18" s="10">
        <f t="shared" si="4"/>
        <v>221.38164443559626</v>
      </c>
      <c r="L18" s="10">
        <f>+I18/$M$1</f>
        <v>7761.895281704161</v>
      </c>
    </row>
    <row r="19" spans="1:12" ht="15.75">
      <c r="A19" s="4">
        <v>18</v>
      </c>
      <c r="B19" s="4" t="s">
        <v>3</v>
      </c>
      <c r="C19" s="9" t="s">
        <v>33</v>
      </c>
      <c r="D19" s="6">
        <v>399</v>
      </c>
      <c r="E19" s="6">
        <v>5</v>
      </c>
      <c r="F19" s="6">
        <f t="shared" si="0"/>
        <v>7</v>
      </c>
      <c r="G19" s="7">
        <f>+H19+I19</f>
        <v>50240</v>
      </c>
      <c r="H19" s="7">
        <f t="shared" si="1"/>
        <v>2793</v>
      </c>
      <c r="I19" s="7">
        <f>47197+200+50</f>
        <v>47447</v>
      </c>
      <c r="J19" s="10">
        <f t="shared" si="3"/>
        <v>6667.993894750813</v>
      </c>
      <c r="K19" s="10">
        <f t="shared" si="4"/>
        <v>370.6948039020505</v>
      </c>
      <c r="L19" s="10">
        <f>+I19/$M$1</f>
        <v>6297.299090848762</v>
      </c>
    </row>
    <row r="20" spans="1:12" ht="15.75">
      <c r="A20" s="4">
        <v>19</v>
      </c>
      <c r="B20" s="4" t="s">
        <v>3</v>
      </c>
      <c r="C20" s="5" t="s">
        <v>34</v>
      </c>
      <c r="D20" s="6">
        <v>399</v>
      </c>
      <c r="E20" s="6">
        <v>5</v>
      </c>
      <c r="F20" s="6">
        <f t="shared" si="0"/>
        <v>7</v>
      </c>
      <c r="G20" s="7">
        <f>+H20+I20</f>
        <v>50740</v>
      </c>
      <c r="H20" s="7">
        <f t="shared" si="1"/>
        <v>2793</v>
      </c>
      <c r="I20" s="7">
        <f>47697+200+50</f>
        <v>47947</v>
      </c>
      <c r="J20" s="10">
        <f t="shared" si="3"/>
        <v>6734.355298958126</v>
      </c>
      <c r="K20" s="10">
        <f t="shared" si="4"/>
        <v>370.6948039020505</v>
      </c>
      <c r="L20" s="10">
        <f>+I20/$M$1</f>
        <v>6363.660495056075</v>
      </c>
    </row>
    <row r="21" spans="1:12" ht="15.75">
      <c r="A21" s="4">
        <v>20</v>
      </c>
      <c r="B21" s="4" t="s">
        <v>3</v>
      </c>
      <c r="C21" s="5" t="s">
        <v>48</v>
      </c>
      <c r="D21" s="6">
        <v>399</v>
      </c>
      <c r="E21" s="6">
        <v>5</v>
      </c>
      <c r="F21" s="6">
        <f t="shared" si="0"/>
        <v>7</v>
      </c>
      <c r="G21" s="7">
        <f>+H21+I21</f>
        <v>81850</v>
      </c>
      <c r="H21" s="7">
        <f t="shared" si="1"/>
        <v>2793</v>
      </c>
      <c r="I21" s="7">
        <v>79057</v>
      </c>
      <c r="J21" s="10">
        <f t="shared" si="3"/>
        <v>10863.361868737142</v>
      </c>
      <c r="K21" s="10">
        <f t="shared" si="4"/>
        <v>370.6948039020505</v>
      </c>
      <c r="L21" s="10">
        <f>+I21/$M$1</f>
        <v>10492.667064835092</v>
      </c>
    </row>
    <row r="22" spans="1:12" ht="15.75">
      <c r="A22" s="4">
        <v>21</v>
      </c>
      <c r="B22" s="4" t="s">
        <v>3</v>
      </c>
      <c r="C22" s="5" t="s">
        <v>49</v>
      </c>
      <c r="D22" s="6">
        <v>399</v>
      </c>
      <c r="E22" s="6">
        <v>5</v>
      </c>
      <c r="F22" s="6">
        <f t="shared" si="0"/>
        <v>7</v>
      </c>
      <c r="G22" s="7">
        <f>+H22+I22</f>
        <v>85620</v>
      </c>
      <c r="H22" s="7">
        <f t="shared" si="1"/>
        <v>2793</v>
      </c>
      <c r="I22" s="7">
        <v>82827</v>
      </c>
      <c r="J22" s="10">
        <f t="shared" si="3"/>
        <v>11363.726856460282</v>
      </c>
      <c r="K22" s="10">
        <f t="shared" si="4"/>
        <v>370.6948039020505</v>
      </c>
      <c r="L22" s="10">
        <f>+I22/$M$1</f>
        <v>10993.032052558232</v>
      </c>
    </row>
    <row r="23" spans="1:12" ht="15.75">
      <c r="A23" s="4">
        <v>22</v>
      </c>
      <c r="B23" s="4" t="s">
        <v>3</v>
      </c>
      <c r="C23" s="5" t="s">
        <v>80</v>
      </c>
      <c r="D23" s="6">
        <v>530</v>
      </c>
      <c r="E23" s="6">
        <v>5</v>
      </c>
      <c r="F23" s="6">
        <f t="shared" si="0"/>
        <v>7</v>
      </c>
      <c r="G23" s="7">
        <f>+H23+I23</f>
        <v>101590</v>
      </c>
      <c r="H23" s="7">
        <f t="shared" si="1"/>
        <v>3710</v>
      </c>
      <c r="I23" s="7">
        <v>97880</v>
      </c>
      <c r="J23" s="10">
        <f t="shared" si="3"/>
        <v>13483.31010684186</v>
      </c>
      <c r="K23" s="10">
        <f t="shared" si="4"/>
        <v>492.4016192182626</v>
      </c>
      <c r="L23" s="10">
        <f>+I23/$M$1</f>
        <v>12990.908487623597</v>
      </c>
    </row>
    <row r="24" spans="1:12" ht="15.75">
      <c r="A24" s="4">
        <v>23</v>
      </c>
      <c r="B24" s="4" t="s">
        <v>3</v>
      </c>
      <c r="C24" s="5" t="s">
        <v>53</v>
      </c>
      <c r="D24" s="6">
        <v>0</v>
      </c>
      <c r="E24" s="6">
        <v>5</v>
      </c>
      <c r="F24" s="6">
        <f t="shared" si="0"/>
        <v>0</v>
      </c>
      <c r="G24" s="7">
        <f>+H24+I24</f>
        <v>20740</v>
      </c>
      <c r="H24" s="7">
        <v>0</v>
      </c>
      <c r="I24" s="7">
        <f>20490+200+50</f>
        <v>20740</v>
      </c>
      <c r="J24" s="10">
        <f t="shared" si="3"/>
        <v>2752.671046519344</v>
      </c>
      <c r="K24" s="10">
        <f t="shared" si="4"/>
        <v>0</v>
      </c>
      <c r="L24" s="10">
        <f>+I24/$M$1</f>
        <v>2752.671046519344</v>
      </c>
    </row>
    <row r="25" spans="1:12" ht="15.75">
      <c r="A25" s="4">
        <v>24</v>
      </c>
      <c r="B25" s="4" t="s">
        <v>3</v>
      </c>
      <c r="C25" s="5" t="s">
        <v>81</v>
      </c>
      <c r="D25" s="6">
        <v>0</v>
      </c>
      <c r="E25" s="6">
        <v>5</v>
      </c>
      <c r="F25" s="6">
        <f t="shared" si="0"/>
        <v>0</v>
      </c>
      <c r="G25" s="7">
        <f>+H25+I25</f>
        <v>21490</v>
      </c>
      <c r="H25" s="7">
        <v>0</v>
      </c>
      <c r="I25" s="7">
        <f>20490+200+50+750</f>
        <v>21490</v>
      </c>
      <c r="J25" s="10">
        <f t="shared" si="3"/>
        <v>2852.213152830314</v>
      </c>
      <c r="K25" s="10">
        <f t="shared" si="4"/>
        <v>0</v>
      </c>
      <c r="L25" s="10">
        <f>+I25/$M$1</f>
        <v>2852.213152830314</v>
      </c>
    </row>
    <row r="26" spans="1:12" ht="15.75">
      <c r="A26" s="4">
        <v>25</v>
      </c>
      <c r="B26" s="4" t="s">
        <v>3</v>
      </c>
      <c r="C26" s="5" t="s">
        <v>82</v>
      </c>
      <c r="D26" s="6">
        <v>0</v>
      </c>
      <c r="E26" s="6">
        <v>5</v>
      </c>
      <c r="F26" s="6">
        <f t="shared" si="0"/>
        <v>0</v>
      </c>
      <c r="G26" s="7">
        <f>+H26+I26</f>
        <v>22990</v>
      </c>
      <c r="H26" s="7">
        <v>0</v>
      </c>
      <c r="I26" s="7">
        <f>20490+200+50+750+2250-750</f>
        <v>22990</v>
      </c>
      <c r="J26" s="10">
        <f t="shared" si="3"/>
        <v>3051.297365452253</v>
      </c>
      <c r="K26" s="10">
        <f t="shared" si="4"/>
        <v>0</v>
      </c>
      <c r="L26" s="10">
        <f>+I26/$M$1</f>
        <v>3051.297365452253</v>
      </c>
    </row>
    <row r="27" spans="1:12" ht="15.75">
      <c r="A27" s="4">
        <v>26</v>
      </c>
      <c r="B27" s="4" t="s">
        <v>3</v>
      </c>
      <c r="C27" s="5" t="s">
        <v>54</v>
      </c>
      <c r="D27" s="6">
        <v>0</v>
      </c>
      <c r="E27" s="6">
        <v>5</v>
      </c>
      <c r="F27" s="6">
        <f t="shared" si="0"/>
        <v>0</v>
      </c>
      <c r="G27" s="7">
        <f>+H27+I27</f>
        <v>23740</v>
      </c>
      <c r="H27" s="7">
        <v>0</v>
      </c>
      <c r="I27" s="7">
        <f>23490+200+50</f>
        <v>23740</v>
      </c>
      <c r="J27" s="10">
        <f t="shared" si="3"/>
        <v>3150.8394717632223</v>
      </c>
      <c r="K27" s="10">
        <f t="shared" si="4"/>
        <v>0</v>
      </c>
      <c r="L27" s="10">
        <f>+I27/$M$1</f>
        <v>3150.8394717632223</v>
      </c>
    </row>
    <row r="28" spans="1:12" ht="15.75">
      <c r="A28" s="4">
        <v>27</v>
      </c>
      <c r="B28" s="4" t="s">
        <v>3</v>
      </c>
      <c r="C28" s="5" t="s">
        <v>83</v>
      </c>
      <c r="D28" s="6">
        <v>0</v>
      </c>
      <c r="E28" s="6">
        <v>5</v>
      </c>
      <c r="F28" s="6">
        <f t="shared" si="0"/>
        <v>0</v>
      </c>
      <c r="G28" s="7">
        <f>+H28+I28</f>
        <v>24490</v>
      </c>
      <c r="H28" s="7">
        <v>0</v>
      </c>
      <c r="I28" s="7">
        <f>23490+200+50+750</f>
        <v>24490</v>
      </c>
      <c r="J28" s="10">
        <f t="shared" si="3"/>
        <v>3250.381578074192</v>
      </c>
      <c r="K28" s="10">
        <f t="shared" si="4"/>
        <v>0</v>
      </c>
      <c r="L28" s="10">
        <f>+I28/$M$1</f>
        <v>3250.381578074192</v>
      </c>
    </row>
    <row r="29" spans="1:12" ht="15.75">
      <c r="A29" s="4">
        <v>28</v>
      </c>
      <c r="B29" s="4" t="s">
        <v>3</v>
      </c>
      <c r="C29" s="5" t="s">
        <v>55</v>
      </c>
      <c r="D29" s="6">
        <v>0</v>
      </c>
      <c r="E29" s="6">
        <v>5</v>
      </c>
      <c r="F29" s="6">
        <f t="shared" si="0"/>
        <v>0</v>
      </c>
      <c r="G29" s="7">
        <f>+H29+I29</f>
        <v>25170</v>
      </c>
      <c r="H29" s="7">
        <v>0</v>
      </c>
      <c r="I29" s="7">
        <f>24920+200+50</f>
        <v>25170</v>
      </c>
      <c r="J29" s="10">
        <f t="shared" si="3"/>
        <v>3340.6330877961377</v>
      </c>
      <c r="K29" s="10">
        <f t="shared" si="4"/>
        <v>0</v>
      </c>
      <c r="L29" s="10">
        <f>+I29/$M$1</f>
        <v>3340.6330877961377</v>
      </c>
    </row>
    <row r="30" spans="1:12" ht="15.75">
      <c r="A30" s="4">
        <v>29</v>
      </c>
      <c r="B30" s="4" t="s">
        <v>3</v>
      </c>
      <c r="C30" s="5" t="s">
        <v>84</v>
      </c>
      <c r="D30" s="6">
        <v>0</v>
      </c>
      <c r="E30" s="6">
        <v>5</v>
      </c>
      <c r="F30" s="6">
        <f t="shared" si="0"/>
        <v>0</v>
      </c>
      <c r="G30" s="7">
        <f>+H30+I30</f>
        <v>25920</v>
      </c>
      <c r="H30" s="7">
        <v>0</v>
      </c>
      <c r="I30" s="7">
        <f>24920+200+50+750</f>
        <v>25920</v>
      </c>
      <c r="J30" s="10">
        <f t="shared" si="3"/>
        <v>3440.175194107107</v>
      </c>
      <c r="K30" s="10">
        <f t="shared" si="4"/>
        <v>0</v>
      </c>
      <c r="L30" s="10">
        <f>+I30/$M$1</f>
        <v>3440.175194107107</v>
      </c>
    </row>
    <row r="31" spans="1:12" ht="15.75">
      <c r="A31" s="4">
        <v>30</v>
      </c>
      <c r="B31" s="4" t="s">
        <v>3</v>
      </c>
      <c r="C31" s="5" t="s">
        <v>85</v>
      </c>
      <c r="D31" s="6">
        <v>0</v>
      </c>
      <c r="E31" s="6">
        <v>5</v>
      </c>
      <c r="F31" s="6">
        <f t="shared" si="0"/>
        <v>0</v>
      </c>
      <c r="G31" s="7">
        <f>+H31+I31</f>
        <v>27420</v>
      </c>
      <c r="H31" s="7">
        <v>0</v>
      </c>
      <c r="I31" s="7">
        <f>24920+200+50+750+2250-750</f>
        <v>27420</v>
      </c>
      <c r="J31" s="10">
        <f t="shared" si="3"/>
        <v>3639.259406729046</v>
      </c>
      <c r="K31" s="10">
        <f t="shared" si="4"/>
        <v>0</v>
      </c>
      <c r="L31" s="10">
        <f>+I31/$M$1</f>
        <v>3639.259406729046</v>
      </c>
    </row>
    <row r="32" spans="1:12" ht="15.75">
      <c r="A32" s="4">
        <v>31</v>
      </c>
      <c r="B32" s="4" t="s">
        <v>4</v>
      </c>
      <c r="C32" s="5" t="s">
        <v>35</v>
      </c>
      <c r="D32" s="6">
        <v>50</v>
      </c>
      <c r="E32" s="6">
        <v>5</v>
      </c>
      <c r="F32" s="6">
        <f t="shared" si="0"/>
        <v>0</v>
      </c>
      <c r="G32" s="7">
        <f>+H32+I32</f>
        <v>28380</v>
      </c>
      <c r="H32" s="7">
        <f t="shared" si="1"/>
        <v>0</v>
      </c>
      <c r="I32" s="7">
        <f>28130+200+50</f>
        <v>28380</v>
      </c>
      <c r="J32" s="10">
        <f t="shared" si="3"/>
        <v>3766.673302807087</v>
      </c>
      <c r="K32" s="10">
        <f t="shared" si="4"/>
        <v>0</v>
      </c>
      <c r="L32" s="10">
        <f>+I32/$M$1</f>
        <v>3766.673302807087</v>
      </c>
    </row>
    <row r="33" spans="1:12" ht="15.75">
      <c r="A33" s="4">
        <v>32</v>
      </c>
      <c r="B33" s="4" t="s">
        <v>4</v>
      </c>
      <c r="C33" s="5" t="s">
        <v>88</v>
      </c>
      <c r="D33" s="6">
        <v>50</v>
      </c>
      <c r="E33" s="6">
        <v>5</v>
      </c>
      <c r="F33" s="6">
        <f t="shared" si="0"/>
        <v>0</v>
      </c>
      <c r="G33" s="7">
        <f>+H33+I33</f>
        <v>29880</v>
      </c>
      <c r="H33" s="7">
        <f t="shared" si="1"/>
        <v>0</v>
      </c>
      <c r="I33" s="7">
        <f>28130+200+50+1500</f>
        <v>29880</v>
      </c>
      <c r="J33" s="10">
        <f t="shared" si="3"/>
        <v>3965.757515429026</v>
      </c>
      <c r="K33" s="10">
        <f t="shared" si="4"/>
        <v>0</v>
      </c>
      <c r="L33" s="10">
        <f>+I33/$M$1</f>
        <v>3965.757515429026</v>
      </c>
    </row>
    <row r="34" spans="1:12" ht="15.75">
      <c r="A34" s="4">
        <v>33</v>
      </c>
      <c r="B34" s="4" t="s">
        <v>4</v>
      </c>
      <c r="C34" s="9" t="s">
        <v>36</v>
      </c>
      <c r="D34" s="6">
        <v>50</v>
      </c>
      <c r="E34" s="6">
        <v>5</v>
      </c>
      <c r="F34" s="6">
        <f t="shared" si="0"/>
        <v>0</v>
      </c>
      <c r="G34" s="7">
        <f>+H34+I34</f>
        <v>29280</v>
      </c>
      <c r="H34" s="7">
        <f t="shared" si="1"/>
        <v>0</v>
      </c>
      <c r="I34" s="7">
        <f>29030+200+50</f>
        <v>29280</v>
      </c>
      <c r="J34" s="10">
        <f t="shared" si="3"/>
        <v>3886.1238303802506</v>
      </c>
      <c r="K34" s="10">
        <f t="shared" si="4"/>
        <v>0</v>
      </c>
      <c r="L34" s="10">
        <f>+I34/$M$1</f>
        <v>3886.1238303802506</v>
      </c>
    </row>
    <row r="35" spans="1:12" ht="15.75">
      <c r="A35" s="4">
        <v>34</v>
      </c>
      <c r="B35" s="4" t="s">
        <v>4</v>
      </c>
      <c r="C35" s="9" t="s">
        <v>37</v>
      </c>
      <c r="D35" s="6">
        <v>50</v>
      </c>
      <c r="E35" s="6">
        <v>5</v>
      </c>
      <c r="F35" s="6">
        <f t="shared" si="0"/>
        <v>0</v>
      </c>
      <c r="G35" s="7">
        <f>+H35+I35</f>
        <v>30180</v>
      </c>
      <c r="H35" s="7">
        <f t="shared" si="1"/>
        <v>0</v>
      </c>
      <c r="I35" s="7">
        <f>30130+50</f>
        <v>30180</v>
      </c>
      <c r="J35" s="10">
        <f t="shared" si="3"/>
        <v>4005.574357953414</v>
      </c>
      <c r="K35" s="10">
        <f t="shared" si="4"/>
        <v>0</v>
      </c>
      <c r="L35" s="10">
        <f>+I35/$M$1</f>
        <v>4005.574357953414</v>
      </c>
    </row>
    <row r="36" spans="1:12" ht="15.75">
      <c r="A36" s="4">
        <v>35</v>
      </c>
      <c r="B36" s="4" t="s">
        <v>4</v>
      </c>
      <c r="C36" s="9" t="s">
        <v>38</v>
      </c>
      <c r="D36" s="6">
        <v>50</v>
      </c>
      <c r="E36" s="6">
        <v>5</v>
      </c>
      <c r="F36" s="6">
        <f t="shared" si="0"/>
        <v>0</v>
      </c>
      <c r="G36" s="7">
        <f>+H36+I36</f>
        <v>29380</v>
      </c>
      <c r="H36" s="7">
        <f>D36*F36</f>
        <v>0</v>
      </c>
      <c r="I36" s="7">
        <f>29130+200+50</f>
        <v>29380</v>
      </c>
      <c r="J36" s="10">
        <f t="shared" si="3"/>
        <v>3899.3961112217135</v>
      </c>
      <c r="K36" s="10">
        <f t="shared" si="4"/>
        <v>0</v>
      </c>
      <c r="L36" s="10">
        <f>+I36/$M$1</f>
        <v>3899.3961112217135</v>
      </c>
    </row>
    <row r="37" spans="1:12" ht="15.75">
      <c r="A37" s="4">
        <v>36</v>
      </c>
      <c r="B37" s="4" t="s">
        <v>4</v>
      </c>
      <c r="C37" s="9" t="s">
        <v>39</v>
      </c>
      <c r="D37" s="6">
        <v>124</v>
      </c>
      <c r="E37" s="6">
        <v>5</v>
      </c>
      <c r="F37" s="6">
        <f t="shared" si="0"/>
        <v>4</v>
      </c>
      <c r="G37" s="7">
        <f>+H37+I37</f>
        <v>38070</v>
      </c>
      <c r="H37" s="7">
        <f t="shared" si="1"/>
        <v>496</v>
      </c>
      <c r="I37" s="7">
        <f>37324+200+50</f>
        <v>37574</v>
      </c>
      <c r="J37" s="10">
        <f t="shared" si="3"/>
        <v>5052.757316344813</v>
      </c>
      <c r="K37" s="10">
        <f t="shared" si="4"/>
        <v>65.83051297365452</v>
      </c>
      <c r="L37" s="10">
        <f>+I37/$M$1</f>
        <v>4986.926803371159</v>
      </c>
    </row>
    <row r="38" spans="1:12" ht="15.75">
      <c r="A38" s="4">
        <v>37</v>
      </c>
      <c r="B38" s="4" t="s">
        <v>4</v>
      </c>
      <c r="C38" s="9" t="s">
        <v>66</v>
      </c>
      <c r="D38" s="6">
        <v>124</v>
      </c>
      <c r="E38" s="6">
        <v>5</v>
      </c>
      <c r="F38" s="6">
        <f t="shared" si="0"/>
        <v>4</v>
      </c>
      <c r="G38" s="7">
        <f>+H38+I38</f>
        <v>39570</v>
      </c>
      <c r="H38" s="7">
        <f>D38*F38</f>
        <v>496</v>
      </c>
      <c r="I38" s="7">
        <f>37324+200+1500+50</f>
        <v>39074</v>
      </c>
      <c r="J38" s="10">
        <f t="shared" si="3"/>
        <v>5251.841528966753</v>
      </c>
      <c r="K38" s="10">
        <f t="shared" si="4"/>
        <v>65.83051297365452</v>
      </c>
      <c r="L38" s="10">
        <f>+I38/$M$1</f>
        <v>5186.011015993098</v>
      </c>
    </row>
    <row r="39" spans="1:12" ht="15.75">
      <c r="A39" s="4">
        <v>38</v>
      </c>
      <c r="B39" s="4" t="s">
        <v>4</v>
      </c>
      <c r="C39" s="9" t="s">
        <v>40</v>
      </c>
      <c r="D39" s="6">
        <v>124</v>
      </c>
      <c r="E39" s="6">
        <v>5</v>
      </c>
      <c r="F39" s="6">
        <f t="shared" si="0"/>
        <v>4</v>
      </c>
      <c r="G39" s="7">
        <f>+H39+I39</f>
        <v>40070</v>
      </c>
      <c r="H39" s="7">
        <f>D39*F39</f>
        <v>496</v>
      </c>
      <c r="I39" s="7">
        <f>39324+200+50</f>
        <v>39574</v>
      </c>
      <c r="J39" s="10">
        <f t="shared" si="3"/>
        <v>5318.202933174066</v>
      </c>
      <c r="K39" s="10">
        <f t="shared" si="4"/>
        <v>65.83051297365452</v>
      </c>
      <c r="L39" s="10">
        <f>+I39/$M$1</f>
        <v>5252.372420200411</v>
      </c>
    </row>
    <row r="40" spans="1:12" ht="15.75">
      <c r="A40" s="4">
        <v>39</v>
      </c>
      <c r="B40" s="4" t="s">
        <v>4</v>
      </c>
      <c r="C40" s="9" t="s">
        <v>41</v>
      </c>
      <c r="D40" s="6">
        <v>124</v>
      </c>
      <c r="E40" s="6">
        <v>5</v>
      </c>
      <c r="F40" s="6">
        <f t="shared" si="0"/>
        <v>4</v>
      </c>
      <c r="G40" s="7">
        <f>+H40+I40</f>
        <v>42070</v>
      </c>
      <c r="H40" s="7">
        <f>D40*F40</f>
        <v>496</v>
      </c>
      <c r="I40" s="7">
        <f>41324+200+50</f>
        <v>41574</v>
      </c>
      <c r="J40" s="10">
        <f t="shared" si="3"/>
        <v>5583.648550003318</v>
      </c>
      <c r="K40" s="10">
        <f t="shared" si="4"/>
        <v>65.83051297365452</v>
      </c>
      <c r="L40" s="10">
        <f>+I40/$M$1</f>
        <v>5517.818037029663</v>
      </c>
    </row>
    <row r="41" spans="1:12" ht="15.75">
      <c r="A41" s="4">
        <v>40</v>
      </c>
      <c r="B41" s="4" t="s">
        <v>4</v>
      </c>
      <c r="C41" s="9" t="s">
        <v>103</v>
      </c>
      <c r="D41" s="6">
        <v>124</v>
      </c>
      <c r="E41" s="6">
        <v>5</v>
      </c>
      <c r="F41" s="6">
        <f t="shared" si="0"/>
        <v>4</v>
      </c>
      <c r="G41" s="7">
        <f>+H41+I41</f>
        <v>44446.02</v>
      </c>
      <c r="H41" s="7">
        <f>D41*F41</f>
        <v>496</v>
      </c>
      <c r="I41" s="7">
        <v>43950.02</v>
      </c>
      <c r="J41" s="10">
        <f aca="true" t="shared" si="5" ref="J41:J42">+G41/$M$1</f>
        <v>5899.000597252637</v>
      </c>
      <c r="K41" s="10">
        <f aca="true" t="shared" si="6" ref="K41:K42">+H41/$M$1</f>
        <v>65.83051297365452</v>
      </c>
      <c r="L41" s="10">
        <f>+I41/$M$1</f>
        <v>5833.170084278982</v>
      </c>
    </row>
    <row r="42" spans="1:12" ht="15.75">
      <c r="A42" s="4">
        <v>41</v>
      </c>
      <c r="B42" s="4" t="s">
        <v>4</v>
      </c>
      <c r="C42" s="9" t="s">
        <v>104</v>
      </c>
      <c r="D42" s="6">
        <v>124</v>
      </c>
      <c r="E42" s="6">
        <v>5</v>
      </c>
      <c r="F42" s="6">
        <f t="shared" si="0"/>
        <v>4</v>
      </c>
      <c r="G42" s="7">
        <f>+H42+I42</f>
        <v>47459.82</v>
      </c>
      <c r="H42" s="7">
        <f>D42*F42</f>
        <v>496</v>
      </c>
      <c r="I42" s="7">
        <v>46963.82</v>
      </c>
      <c r="J42" s="10">
        <f t="shared" si="5"/>
        <v>6299.000597252638</v>
      </c>
      <c r="K42" s="10">
        <f t="shared" si="6"/>
        <v>65.83051297365452</v>
      </c>
      <c r="L42" s="10">
        <f>+I42/$M$1</f>
        <v>6233.170084278983</v>
      </c>
    </row>
    <row r="43" spans="1:12" ht="15.75">
      <c r="A43" s="4">
        <v>42</v>
      </c>
      <c r="B43" s="4" t="s">
        <v>4</v>
      </c>
      <c r="C43" s="9" t="s">
        <v>95</v>
      </c>
      <c r="D43" s="6">
        <v>125</v>
      </c>
      <c r="E43" s="6">
        <v>5</v>
      </c>
      <c r="F43" s="6">
        <f t="shared" si="0"/>
        <v>4</v>
      </c>
      <c r="G43" s="7">
        <f>+H43+I43</f>
        <v>45952.92</v>
      </c>
      <c r="H43" s="7">
        <f aca="true" t="shared" si="7" ref="H43:H47">D43*F43</f>
        <v>500</v>
      </c>
      <c r="I43" s="7">
        <v>45452.92</v>
      </c>
      <c r="J43" s="10">
        <f t="shared" si="3"/>
        <v>6099.000597252637</v>
      </c>
      <c r="K43" s="10">
        <f t="shared" si="4"/>
        <v>66.36140420731303</v>
      </c>
      <c r="L43" s="10">
        <f>+I43/$M$1</f>
        <v>6032.639193045325</v>
      </c>
    </row>
    <row r="44" spans="1:12" ht="15.75">
      <c r="A44" s="4">
        <v>43</v>
      </c>
      <c r="B44" s="4" t="s">
        <v>4</v>
      </c>
      <c r="C44" s="9" t="s">
        <v>96</v>
      </c>
      <c r="D44" s="6">
        <v>125</v>
      </c>
      <c r="E44" s="6">
        <v>5</v>
      </c>
      <c r="F44" s="6">
        <f t="shared" si="0"/>
        <v>4</v>
      </c>
      <c r="G44" s="7">
        <f>+H44+I44</f>
        <v>46706.37</v>
      </c>
      <c r="H44" s="7">
        <f t="shared" si="7"/>
        <v>500</v>
      </c>
      <c r="I44" s="7">
        <v>46206.37</v>
      </c>
      <c r="J44" s="10">
        <f t="shared" si="3"/>
        <v>6199.000597252638</v>
      </c>
      <c r="K44" s="10">
        <f t="shared" si="4"/>
        <v>66.36140420731303</v>
      </c>
      <c r="L44" s="10">
        <f>+I44/$M$1</f>
        <v>6132.639193045325</v>
      </c>
    </row>
    <row r="45" spans="1:12" ht="15.75">
      <c r="A45" s="4">
        <v>44</v>
      </c>
      <c r="B45" s="4" t="s">
        <v>4</v>
      </c>
      <c r="C45" s="9" t="s">
        <v>97</v>
      </c>
      <c r="D45" s="6">
        <v>125</v>
      </c>
      <c r="E45" s="6">
        <v>5</v>
      </c>
      <c r="F45" s="6">
        <f t="shared" si="0"/>
        <v>4</v>
      </c>
      <c r="G45" s="7">
        <f>+H45+I45</f>
        <v>48213.27</v>
      </c>
      <c r="H45" s="7">
        <f t="shared" si="7"/>
        <v>500</v>
      </c>
      <c r="I45" s="7">
        <v>47713.27</v>
      </c>
      <c r="J45" s="10">
        <f t="shared" si="3"/>
        <v>6399.000597252637</v>
      </c>
      <c r="K45" s="10">
        <f t="shared" si="4"/>
        <v>66.36140420731303</v>
      </c>
      <c r="L45" s="10">
        <f>+I45/$M$1</f>
        <v>6332.639193045324</v>
      </c>
    </row>
    <row r="46" spans="1:12" ht="15.75">
      <c r="A46" s="4">
        <v>45</v>
      </c>
      <c r="B46" s="4" t="s">
        <v>4</v>
      </c>
      <c r="C46" s="9" t="s">
        <v>98</v>
      </c>
      <c r="D46" s="6">
        <v>125</v>
      </c>
      <c r="E46" s="6">
        <v>5</v>
      </c>
      <c r="F46" s="6">
        <f t="shared" si="0"/>
        <v>4</v>
      </c>
      <c r="G46" s="7">
        <f>+H46+I46</f>
        <v>49720.17</v>
      </c>
      <c r="H46" s="7">
        <f t="shared" si="7"/>
        <v>500</v>
      </c>
      <c r="I46" s="7">
        <v>49220.17</v>
      </c>
      <c r="J46" s="10">
        <f t="shared" si="3"/>
        <v>6599.000597252637</v>
      </c>
      <c r="K46" s="10">
        <f t="shared" si="4"/>
        <v>66.36140420731303</v>
      </c>
      <c r="L46" s="10">
        <f>+I46/$M$1</f>
        <v>6532.639193045325</v>
      </c>
    </row>
    <row r="47" spans="1:12" ht="15.75">
      <c r="A47" s="4">
        <v>46</v>
      </c>
      <c r="B47" s="4" t="s">
        <v>4</v>
      </c>
      <c r="C47" s="9" t="s">
        <v>99</v>
      </c>
      <c r="D47" s="6">
        <v>278</v>
      </c>
      <c r="E47" s="6">
        <v>5</v>
      </c>
      <c r="F47" s="6">
        <f t="shared" si="0"/>
        <v>6</v>
      </c>
      <c r="G47" s="7">
        <f>+H47+I47</f>
        <v>54617.59</v>
      </c>
      <c r="H47" s="7">
        <f t="shared" si="7"/>
        <v>1668</v>
      </c>
      <c r="I47" s="7">
        <v>52949.59</v>
      </c>
      <c r="J47" s="10">
        <f t="shared" si="3"/>
        <v>7248.9999336385945</v>
      </c>
      <c r="K47" s="10">
        <f t="shared" si="4"/>
        <v>221.38164443559626</v>
      </c>
      <c r="L47" s="10">
        <f>+I47/$M$1</f>
        <v>7027.618289202998</v>
      </c>
    </row>
    <row r="48" spans="1:12" ht="15.75">
      <c r="A48" s="4">
        <v>47</v>
      </c>
      <c r="B48" s="4" t="s">
        <v>4</v>
      </c>
      <c r="C48" s="9" t="s">
        <v>100</v>
      </c>
      <c r="D48" s="6">
        <v>278</v>
      </c>
      <c r="E48" s="6">
        <v>5</v>
      </c>
      <c r="F48" s="6">
        <f t="shared" si="0"/>
        <v>6</v>
      </c>
      <c r="G48" s="7">
        <f>+H48+I48</f>
        <v>55371.04</v>
      </c>
      <c r="H48" s="7">
        <f>D48*F48</f>
        <v>1668</v>
      </c>
      <c r="I48" s="7">
        <v>53703.04</v>
      </c>
      <c r="J48" s="10">
        <f t="shared" si="3"/>
        <v>7348.999933638595</v>
      </c>
      <c r="K48" s="10">
        <f t="shared" si="4"/>
        <v>221.38164443559626</v>
      </c>
      <c r="L48" s="10">
        <f>+I48/$M$1</f>
        <v>7127.618289202999</v>
      </c>
    </row>
    <row r="49" spans="1:12" ht="15.75">
      <c r="A49" s="4">
        <v>48</v>
      </c>
      <c r="B49" s="4" t="s">
        <v>4</v>
      </c>
      <c r="C49" s="9" t="s">
        <v>101</v>
      </c>
      <c r="D49" s="6">
        <v>278</v>
      </c>
      <c r="E49" s="6">
        <v>5</v>
      </c>
      <c r="F49" s="6">
        <f t="shared" si="0"/>
        <v>6</v>
      </c>
      <c r="G49" s="7">
        <f>+H49+I49</f>
        <v>56877.94</v>
      </c>
      <c r="H49" s="7">
        <f aca="true" t="shared" si="8" ref="H49:H50">D49*F49</f>
        <v>1668</v>
      </c>
      <c r="I49" s="7">
        <v>55209.94</v>
      </c>
      <c r="J49" s="10">
        <f t="shared" si="3"/>
        <v>7548.999933638595</v>
      </c>
      <c r="K49" s="10">
        <f t="shared" si="4"/>
        <v>221.38164443559626</v>
      </c>
      <c r="L49" s="10">
        <f>+I49/$M$1</f>
        <v>7327.618289202999</v>
      </c>
    </row>
    <row r="50" spans="1:12" ht="15.75">
      <c r="A50" s="4">
        <v>49</v>
      </c>
      <c r="B50" s="4" t="s">
        <v>4</v>
      </c>
      <c r="C50" s="9" t="s">
        <v>102</v>
      </c>
      <c r="D50" s="6">
        <v>278</v>
      </c>
      <c r="E50" s="6">
        <v>5</v>
      </c>
      <c r="F50" s="6">
        <f t="shared" si="0"/>
        <v>6</v>
      </c>
      <c r="G50" s="7">
        <f>+H50+I50</f>
        <v>58384.84</v>
      </c>
      <c r="H50" s="7">
        <f t="shared" si="8"/>
        <v>1668</v>
      </c>
      <c r="I50" s="7">
        <v>56716.84</v>
      </c>
      <c r="J50" s="10">
        <f t="shared" si="3"/>
        <v>7748.9999336385945</v>
      </c>
      <c r="K50" s="10">
        <f t="shared" si="4"/>
        <v>221.38164443559626</v>
      </c>
      <c r="L50" s="10">
        <f>+I50/$M$1</f>
        <v>7527.618289202998</v>
      </c>
    </row>
    <row r="51" spans="1:12" ht="15.75">
      <c r="A51" s="4">
        <v>50</v>
      </c>
      <c r="B51" s="4" t="s">
        <v>4</v>
      </c>
      <c r="C51" s="5" t="s">
        <v>17</v>
      </c>
      <c r="D51" s="6">
        <v>0</v>
      </c>
      <c r="E51" s="6">
        <v>5</v>
      </c>
      <c r="F51" s="6">
        <f t="shared" si="0"/>
        <v>0</v>
      </c>
      <c r="G51" s="7">
        <f>+H51+I51</f>
        <v>49840</v>
      </c>
      <c r="H51" s="7">
        <v>0</v>
      </c>
      <c r="I51" s="7">
        <f>49590+200+50</f>
        <v>49840</v>
      </c>
      <c r="J51" s="10">
        <f t="shared" si="3"/>
        <v>6614.904771384962</v>
      </c>
      <c r="K51" s="10">
        <f t="shared" si="4"/>
        <v>0</v>
      </c>
      <c r="L51" s="10">
        <f>+I51/$M$1</f>
        <v>6614.904771384962</v>
      </c>
    </row>
    <row r="52" spans="1:12" ht="15.75">
      <c r="A52" s="4">
        <v>51</v>
      </c>
      <c r="B52" s="4" t="s">
        <v>4</v>
      </c>
      <c r="C52" s="5" t="s">
        <v>86</v>
      </c>
      <c r="D52" s="6">
        <v>0</v>
      </c>
      <c r="E52" s="6">
        <v>5</v>
      </c>
      <c r="F52" s="6">
        <f t="shared" si="0"/>
        <v>0</v>
      </c>
      <c r="G52" s="7">
        <f>+H52+I52</f>
        <v>51340</v>
      </c>
      <c r="H52" s="7">
        <v>0</v>
      </c>
      <c r="I52" s="7">
        <f>49590+200+50+1500</f>
        <v>51340</v>
      </c>
      <c r="J52" s="10">
        <f t="shared" si="3"/>
        <v>6813.988984006901</v>
      </c>
      <c r="K52" s="10">
        <f t="shared" si="4"/>
        <v>0</v>
      </c>
      <c r="L52" s="10">
        <f>+I52/$M$1</f>
        <v>6813.988984006901</v>
      </c>
    </row>
    <row r="53" spans="1:12" ht="15.75">
      <c r="A53" s="4">
        <v>52</v>
      </c>
      <c r="B53" s="4" t="s">
        <v>4</v>
      </c>
      <c r="C53" s="5" t="s">
        <v>18</v>
      </c>
      <c r="D53" s="6">
        <v>0</v>
      </c>
      <c r="E53" s="6">
        <v>5</v>
      </c>
      <c r="F53" s="6">
        <f t="shared" si="0"/>
        <v>0</v>
      </c>
      <c r="G53" s="7">
        <f>+H53+I53</f>
        <v>52240</v>
      </c>
      <c r="H53" s="7">
        <v>0</v>
      </c>
      <c r="I53" s="7">
        <f>51990+200+50</f>
        <v>52240</v>
      </c>
      <c r="J53" s="10">
        <f t="shared" si="3"/>
        <v>6933.439511580064</v>
      </c>
      <c r="K53" s="10">
        <f t="shared" si="4"/>
        <v>0</v>
      </c>
      <c r="L53" s="10">
        <f>+I53/$M$1</f>
        <v>6933.439511580064</v>
      </c>
    </row>
    <row r="54" spans="1:12" ht="15.75">
      <c r="A54" s="4">
        <v>53</v>
      </c>
      <c r="B54" s="4" t="s">
        <v>4</v>
      </c>
      <c r="C54" s="5" t="s">
        <v>87</v>
      </c>
      <c r="D54" s="6">
        <v>0</v>
      </c>
      <c r="E54" s="6">
        <v>5</v>
      </c>
      <c r="F54" s="6">
        <f t="shared" si="0"/>
        <v>0</v>
      </c>
      <c r="G54" s="7">
        <f>+H54+I54</f>
        <v>53740</v>
      </c>
      <c r="H54" s="7">
        <v>0</v>
      </c>
      <c r="I54" s="7">
        <f>51990+200+50+1500</f>
        <v>53740</v>
      </c>
      <c r="J54" s="10">
        <f t="shared" si="3"/>
        <v>7132.523724202004</v>
      </c>
      <c r="K54" s="10">
        <f t="shared" si="4"/>
        <v>0</v>
      </c>
      <c r="L54" s="10">
        <f>+I54/$M$1</f>
        <v>7132.523724202004</v>
      </c>
    </row>
    <row r="55" spans="1:12" ht="15.75">
      <c r="A55" s="4">
        <v>54</v>
      </c>
      <c r="B55" s="4" t="s">
        <v>5</v>
      </c>
      <c r="C55" s="5" t="s">
        <v>52</v>
      </c>
      <c r="D55" s="6">
        <v>49</v>
      </c>
      <c r="E55" s="6">
        <v>5</v>
      </c>
      <c r="F55" s="6">
        <f t="shared" si="0"/>
        <v>0</v>
      </c>
      <c r="G55" s="7">
        <f>+H55+I55</f>
        <v>18850</v>
      </c>
      <c r="H55" s="7">
        <f aca="true" t="shared" si="9" ref="H55:H64">D55*F55</f>
        <v>0</v>
      </c>
      <c r="I55" s="7">
        <f>18600+200+50</f>
        <v>18850</v>
      </c>
      <c r="J55" s="10">
        <f t="shared" si="3"/>
        <v>2501.824938615701</v>
      </c>
      <c r="K55" s="10">
        <f t="shared" si="4"/>
        <v>0</v>
      </c>
      <c r="L55" s="10">
        <f>+I55/$M$1</f>
        <v>2501.824938615701</v>
      </c>
    </row>
    <row r="56" spans="1:12" ht="15.75">
      <c r="A56" s="4">
        <v>55</v>
      </c>
      <c r="B56" s="4" t="s">
        <v>5</v>
      </c>
      <c r="C56" s="5" t="s">
        <v>61</v>
      </c>
      <c r="D56" s="6">
        <v>125</v>
      </c>
      <c r="E56" s="6">
        <v>5</v>
      </c>
      <c r="F56" s="6">
        <f t="shared" si="0"/>
        <v>4</v>
      </c>
      <c r="G56" s="7">
        <f>+H56+I56</f>
        <v>30740</v>
      </c>
      <c r="H56" s="7">
        <f t="shared" si="9"/>
        <v>500</v>
      </c>
      <c r="I56" s="7">
        <f>29990+200+50</f>
        <v>30240</v>
      </c>
      <c r="J56" s="10">
        <f t="shared" si="3"/>
        <v>4079.899130665605</v>
      </c>
      <c r="K56" s="10">
        <f t="shared" si="4"/>
        <v>66.36140420731303</v>
      </c>
      <c r="L56" s="10">
        <f>+I56/$M$1</f>
        <v>4013.5377264582917</v>
      </c>
    </row>
    <row r="57" spans="1:12" ht="15.75">
      <c r="A57" s="4">
        <v>56</v>
      </c>
      <c r="B57" s="4" t="s">
        <v>5</v>
      </c>
      <c r="C57" s="5" t="s">
        <v>67</v>
      </c>
      <c r="D57" s="6">
        <v>125</v>
      </c>
      <c r="E57" s="6">
        <v>5</v>
      </c>
      <c r="F57" s="6">
        <f t="shared" si="0"/>
        <v>4</v>
      </c>
      <c r="G57" s="7">
        <f>+H57+I57</f>
        <v>31540</v>
      </c>
      <c r="H57" s="7">
        <f t="shared" si="9"/>
        <v>500</v>
      </c>
      <c r="I57" s="7">
        <f>29990+200+800+50</f>
        <v>31040</v>
      </c>
      <c r="J57" s="10">
        <f t="shared" si="3"/>
        <v>4186.077377397305</v>
      </c>
      <c r="K57" s="10">
        <f t="shared" si="4"/>
        <v>66.36140420731303</v>
      </c>
      <c r="L57" s="10">
        <f>+I57/$M$1</f>
        <v>4119.715973189993</v>
      </c>
    </row>
    <row r="58" spans="1:12" ht="15.75">
      <c r="A58" s="4">
        <v>57</v>
      </c>
      <c r="B58" s="4" t="s">
        <v>5</v>
      </c>
      <c r="C58" s="9" t="s">
        <v>62</v>
      </c>
      <c r="D58" s="6">
        <v>174</v>
      </c>
      <c r="E58" s="6">
        <v>5</v>
      </c>
      <c r="F58" s="6">
        <f t="shared" si="0"/>
        <v>6</v>
      </c>
      <c r="G58" s="7">
        <f>+H58+I58</f>
        <v>32740</v>
      </c>
      <c r="H58" s="7">
        <f t="shared" si="9"/>
        <v>1044</v>
      </c>
      <c r="I58" s="7">
        <f>31446+200+50</f>
        <v>31696</v>
      </c>
      <c r="J58" s="10">
        <f t="shared" si="3"/>
        <v>4345.344747494857</v>
      </c>
      <c r="K58" s="10">
        <f t="shared" si="4"/>
        <v>138.5626119848696</v>
      </c>
      <c r="L58" s="10">
        <f>+I58/$M$1</f>
        <v>4206.782135509987</v>
      </c>
    </row>
    <row r="59" spans="1:12" ht="15.75">
      <c r="A59" s="4">
        <v>58</v>
      </c>
      <c r="B59" s="4" t="s">
        <v>5</v>
      </c>
      <c r="C59" s="9" t="s">
        <v>68</v>
      </c>
      <c r="D59" s="6">
        <v>174</v>
      </c>
      <c r="E59" s="6">
        <v>5</v>
      </c>
      <c r="F59" s="6">
        <f t="shared" si="0"/>
        <v>6</v>
      </c>
      <c r="G59" s="7">
        <f>+H59+I59</f>
        <v>33540</v>
      </c>
      <c r="H59" s="7">
        <f t="shared" si="9"/>
        <v>1044</v>
      </c>
      <c r="I59" s="7">
        <f>31446+200+800+50</f>
        <v>32496</v>
      </c>
      <c r="J59" s="10">
        <f t="shared" si="3"/>
        <v>4451.522994226558</v>
      </c>
      <c r="K59" s="10">
        <f t="shared" si="4"/>
        <v>138.5626119848696</v>
      </c>
      <c r="L59" s="10">
        <f>+I59/$M$1</f>
        <v>4312.960382241688</v>
      </c>
    </row>
    <row r="60" spans="1:12" ht="15.75">
      <c r="A60" s="4">
        <v>59</v>
      </c>
      <c r="B60" s="4" t="s">
        <v>5</v>
      </c>
      <c r="C60" s="9" t="s">
        <v>45</v>
      </c>
      <c r="D60" s="6">
        <v>124</v>
      </c>
      <c r="E60" s="6">
        <v>5</v>
      </c>
      <c r="F60" s="6">
        <f t="shared" si="0"/>
        <v>4</v>
      </c>
      <c r="G60" s="7">
        <f>+H60+I60</f>
        <v>32740</v>
      </c>
      <c r="H60" s="7">
        <f t="shared" si="9"/>
        <v>496</v>
      </c>
      <c r="I60" s="7">
        <f>31994+200+50</f>
        <v>32244</v>
      </c>
      <c r="J60" s="10">
        <f t="shared" si="3"/>
        <v>4345.344747494857</v>
      </c>
      <c r="K60" s="10">
        <f t="shared" si="4"/>
        <v>65.83051297365452</v>
      </c>
      <c r="L60" s="10">
        <f>+I60/$M$1</f>
        <v>4279.5142345212025</v>
      </c>
    </row>
    <row r="61" spans="1:12" ht="15.75">
      <c r="A61" s="4">
        <v>60</v>
      </c>
      <c r="B61" s="4" t="s">
        <v>5</v>
      </c>
      <c r="C61" s="9" t="s">
        <v>46</v>
      </c>
      <c r="D61" s="6">
        <v>124</v>
      </c>
      <c r="E61" s="6">
        <v>5</v>
      </c>
      <c r="F61" s="6">
        <f t="shared" si="0"/>
        <v>4</v>
      </c>
      <c r="G61" s="7">
        <f>+H61+I61</f>
        <v>32740</v>
      </c>
      <c r="H61" s="7">
        <f t="shared" si="9"/>
        <v>496</v>
      </c>
      <c r="I61" s="7">
        <f>31994+200+50</f>
        <v>32244</v>
      </c>
      <c r="J61" s="10">
        <f t="shared" si="3"/>
        <v>4345.344747494857</v>
      </c>
      <c r="K61" s="10">
        <f t="shared" si="4"/>
        <v>65.83051297365452</v>
      </c>
      <c r="L61" s="10">
        <f>+I61/$M$1</f>
        <v>4279.5142345212025</v>
      </c>
    </row>
    <row r="62" spans="1:12" ht="15" customHeight="1">
      <c r="A62" s="4">
        <v>61</v>
      </c>
      <c r="B62" s="4" t="s">
        <v>5</v>
      </c>
      <c r="C62" s="9" t="s">
        <v>50</v>
      </c>
      <c r="D62" s="6">
        <v>124</v>
      </c>
      <c r="E62" s="6">
        <v>5</v>
      </c>
      <c r="F62" s="6">
        <f>IF(D62&lt;=50,0,IF(AND(D62&gt;51,D62&lt;=125),4,IF(AND(D62&gt;126,D62&lt;=300),6,IF(AND(D62&gt;301,D62&lt;=700),7,IF(AND(D62&gt;701,D62&lt;=1000),8,IF((D62&gt;1001),10,0))))))+IF(D62&lt;=50,0,IF(E62=1,15,IF(E62=2,10,IF(E62=3,5,0))))</f>
        <v>4</v>
      </c>
      <c r="G62" s="7">
        <f>+H62+I62</f>
        <v>41440</v>
      </c>
      <c r="H62" s="7">
        <f>D62*F62</f>
        <v>496</v>
      </c>
      <c r="I62" s="7">
        <f>40694+200+50</f>
        <v>40944</v>
      </c>
      <c r="J62" s="10">
        <f t="shared" si="3"/>
        <v>5500.033180702103</v>
      </c>
      <c r="K62" s="10">
        <f t="shared" si="4"/>
        <v>65.83051297365452</v>
      </c>
      <c r="L62" s="10">
        <f>+I62/$M$1</f>
        <v>5434.202667728448</v>
      </c>
    </row>
    <row r="63" spans="1:12" ht="15" customHeight="1">
      <c r="A63" s="4">
        <v>62</v>
      </c>
      <c r="B63" s="4" t="s">
        <v>5</v>
      </c>
      <c r="C63" s="9" t="s">
        <v>51</v>
      </c>
      <c r="D63" s="6">
        <v>124</v>
      </c>
      <c r="E63" s="6">
        <v>5</v>
      </c>
      <c r="F63" s="6">
        <f t="shared" si="0"/>
        <v>4</v>
      </c>
      <c r="G63" s="7">
        <f>+H63+I63</f>
        <v>44240</v>
      </c>
      <c r="H63" s="7">
        <f t="shared" si="9"/>
        <v>496</v>
      </c>
      <c r="I63" s="7">
        <f>43494+200+50</f>
        <v>43744</v>
      </c>
      <c r="J63" s="10">
        <f t="shared" si="3"/>
        <v>5871.657044263056</v>
      </c>
      <c r="K63" s="10">
        <f t="shared" si="4"/>
        <v>65.83051297365452</v>
      </c>
      <c r="L63" s="10">
        <f>+I63/$M$1</f>
        <v>5805.826531289402</v>
      </c>
    </row>
    <row r="64" spans="1:12" ht="15" customHeight="1">
      <c r="A64" s="4">
        <v>63</v>
      </c>
      <c r="B64" s="4" t="s">
        <v>5</v>
      </c>
      <c r="C64" s="9" t="s">
        <v>69</v>
      </c>
      <c r="D64" s="6">
        <v>124</v>
      </c>
      <c r="E64" s="6">
        <v>5</v>
      </c>
      <c r="F64" s="6">
        <f t="shared" si="0"/>
        <v>4</v>
      </c>
      <c r="G64" s="7">
        <f>+H64+I64</f>
        <v>45740</v>
      </c>
      <c r="H64" s="7">
        <f t="shared" si="9"/>
        <v>496</v>
      </c>
      <c r="I64" s="7">
        <f>43494+200+1500+50</f>
        <v>45244</v>
      </c>
      <c r="J64" s="10">
        <f t="shared" si="3"/>
        <v>6070.741256884995</v>
      </c>
      <c r="K64" s="10">
        <f t="shared" si="4"/>
        <v>65.83051297365452</v>
      </c>
      <c r="L64" s="10">
        <f>+I64/$M$1</f>
        <v>6004.91074391134</v>
      </c>
    </row>
    <row r="65" spans="1:12" ht="15" customHeight="1">
      <c r="A65" s="4">
        <v>64</v>
      </c>
      <c r="B65" s="4" t="s">
        <v>5</v>
      </c>
      <c r="C65" s="9" t="s">
        <v>30</v>
      </c>
      <c r="D65" s="6">
        <v>659</v>
      </c>
      <c r="E65" s="6">
        <v>5</v>
      </c>
      <c r="F65" s="6">
        <f>IF(D65&lt;=50,0,IF(AND(D65&gt;51,D65&lt;=125),4,IF(AND(D65&gt;126,D65&lt;=300),6,IF(AND(D65&gt;301,D65&lt;=700),7,IF(AND(D65&gt;701,D65&lt;=1000),8,IF((D65&gt;1001),10,0))))))+IF(D65&lt;=50,0,IF(E65=1,15,IF(E65=2,10,IF(E65=3,5,0))))</f>
        <v>7</v>
      </c>
      <c r="G65" s="7">
        <f>+H65+I65</f>
        <v>83700</v>
      </c>
      <c r="H65" s="7">
        <f>D65*F65</f>
        <v>4613</v>
      </c>
      <c r="I65" s="7">
        <f>78837+200+50</f>
        <v>79087</v>
      </c>
      <c r="J65" s="10">
        <f t="shared" si="3"/>
        <v>11108.8990643042</v>
      </c>
      <c r="K65" s="10">
        <f t="shared" si="4"/>
        <v>612.25031521667</v>
      </c>
      <c r="L65" s="10">
        <f>+I65/$M$1</f>
        <v>10496.64874908753</v>
      </c>
    </row>
    <row r="66" spans="1:12" ht="15.75">
      <c r="A66" s="4">
        <v>65</v>
      </c>
      <c r="B66" s="4" t="s">
        <v>5</v>
      </c>
      <c r="C66" s="9" t="s">
        <v>70</v>
      </c>
      <c r="D66" s="6">
        <v>659</v>
      </c>
      <c r="E66" s="6">
        <v>5</v>
      </c>
      <c r="F66" s="6">
        <f>IF(D66&lt;=50,0,IF(AND(D66&gt;51,D66&lt;=125),4,IF(AND(D66&gt;126,D66&lt;=300),6,IF(AND(D66&gt;301,D66&lt;=700),7,IF(AND(D66&gt;701,D66&lt;=1000),8,IF((D66&gt;1001),10,0))))))+IF(D66&lt;=50,0,IF(E66=1,15,IF(E66=2,10,IF(E66=3,5,0))))</f>
        <v>7</v>
      </c>
      <c r="G66" s="7">
        <f>+H66+I66</f>
        <v>84450</v>
      </c>
      <c r="H66" s="7">
        <f>D66*F66</f>
        <v>4613</v>
      </c>
      <c r="I66" s="7">
        <f>78837+200+750+50</f>
        <v>79837</v>
      </c>
      <c r="J66" s="10">
        <f t="shared" si="3"/>
        <v>11208.44117061517</v>
      </c>
      <c r="K66" s="10">
        <f t="shared" si="4"/>
        <v>612.25031521667</v>
      </c>
      <c r="L66" s="10">
        <f>+I66/$M$1</f>
        <v>10596.1908553985</v>
      </c>
    </row>
    <row r="67" spans="1:12" ht="15.75">
      <c r="A67" s="4">
        <v>66</v>
      </c>
      <c r="B67" s="4" t="s">
        <v>5</v>
      </c>
      <c r="C67" s="9" t="s">
        <v>71</v>
      </c>
      <c r="D67" s="6">
        <v>659</v>
      </c>
      <c r="E67" s="6">
        <v>5</v>
      </c>
      <c r="F67" s="6">
        <f>IF(D67&lt;=50,0,IF(AND(D67&gt;51,D67&lt;=125),4,IF(AND(D67&gt;126,D67&lt;=300),6,IF(AND(D67&gt;301,D67&lt;=700),7,IF(AND(D67&gt;701,D67&lt;=1000),8,IF((D67&gt;1001),10,0))))))+IF(D67&lt;=50,0,IF(E67=1,15,IF(E67=2,10,IF(E67=3,5,0))))</f>
        <v>7</v>
      </c>
      <c r="G67" s="7">
        <f>+H67+I67</f>
        <v>86700</v>
      </c>
      <c r="H67" s="7">
        <f>D67*F67</f>
        <v>4613</v>
      </c>
      <c r="I67" s="7">
        <f>78837+200+3000+50</f>
        <v>82087</v>
      </c>
      <c r="J67" s="10">
        <f t="shared" si="3"/>
        <v>11507.067489548079</v>
      </c>
      <c r="K67" s="10">
        <f t="shared" si="4"/>
        <v>612.25031521667</v>
      </c>
      <c r="L67" s="10">
        <f>+I67/$M$1</f>
        <v>10894.817174331409</v>
      </c>
    </row>
    <row r="68" spans="1:12" ht="15.75">
      <c r="A68" s="4">
        <v>67</v>
      </c>
      <c r="B68" s="4" t="s">
        <v>5</v>
      </c>
      <c r="C68" s="9" t="s">
        <v>23</v>
      </c>
      <c r="D68" s="6">
        <v>659</v>
      </c>
      <c r="E68" s="6">
        <v>5</v>
      </c>
      <c r="F68" s="6">
        <f aca="true" t="shared" si="10" ref="F68:F85">IF(D68&lt;=50,0,IF(AND(D68&gt;51,D68&lt;=125),4,IF(AND(D68&gt;126,D68&lt;=300),6,IF(AND(D68&gt;301,D68&lt;=700),7,IF(AND(D68&gt;701,D68&lt;=1000),8,IF((D68&gt;1001),10,0))))))+IF(D68&lt;=50,0,IF(E68=1,15,IF(E68=2,10,IF(E68=3,5,0))))</f>
        <v>7</v>
      </c>
      <c r="G68" s="7">
        <f>+H68+I68</f>
        <v>91240</v>
      </c>
      <c r="H68" s="7">
        <f aca="true" t="shared" si="11" ref="H68:H83">D68*F68</f>
        <v>4613</v>
      </c>
      <c r="I68" s="7">
        <f>86377+200+50</f>
        <v>86627</v>
      </c>
      <c r="J68" s="10">
        <f aca="true" t="shared" si="12" ref="J68:J89">+G68/$M$1</f>
        <v>12109.62903975048</v>
      </c>
      <c r="K68" s="10">
        <f aca="true" t="shared" si="13" ref="K68:K89">+H68/$M$1</f>
        <v>612.25031521667</v>
      </c>
      <c r="L68" s="10">
        <f>+I68/$M$1</f>
        <v>11497.37872453381</v>
      </c>
    </row>
    <row r="69" spans="1:12" ht="15.75">
      <c r="A69" s="4">
        <v>68</v>
      </c>
      <c r="B69" s="4" t="s">
        <v>5</v>
      </c>
      <c r="C69" s="9" t="s">
        <v>72</v>
      </c>
      <c r="D69" s="6">
        <v>659</v>
      </c>
      <c r="E69" s="6">
        <v>5</v>
      </c>
      <c r="F69" s="6">
        <f t="shared" si="10"/>
        <v>7</v>
      </c>
      <c r="G69" s="7">
        <f>+H69+I69</f>
        <v>91990</v>
      </c>
      <c r="H69" s="7">
        <f t="shared" si="11"/>
        <v>4613</v>
      </c>
      <c r="I69" s="7">
        <f>86377+200+750+50</f>
        <v>87377</v>
      </c>
      <c r="J69" s="10">
        <f t="shared" si="12"/>
        <v>12209.17114606145</v>
      </c>
      <c r="K69" s="10">
        <f t="shared" si="13"/>
        <v>612.25031521667</v>
      </c>
      <c r="L69" s="10">
        <f>+I69/$M$1</f>
        <v>11596.92083084478</v>
      </c>
    </row>
    <row r="70" spans="1:12" ht="15.75">
      <c r="A70" s="4">
        <v>69</v>
      </c>
      <c r="B70" s="4" t="s">
        <v>5</v>
      </c>
      <c r="C70" s="9" t="s">
        <v>57</v>
      </c>
      <c r="D70" s="6">
        <v>659</v>
      </c>
      <c r="E70" s="6">
        <v>5</v>
      </c>
      <c r="F70" s="6">
        <f t="shared" si="10"/>
        <v>7</v>
      </c>
      <c r="G70" s="7">
        <f>+H70+I70</f>
        <v>91240</v>
      </c>
      <c r="H70" s="7">
        <f t="shared" si="11"/>
        <v>4613</v>
      </c>
      <c r="I70" s="7">
        <f>86377+200+50</f>
        <v>86627</v>
      </c>
      <c r="J70" s="10">
        <f t="shared" si="12"/>
        <v>12109.62903975048</v>
      </c>
      <c r="K70" s="10">
        <f t="shared" si="13"/>
        <v>612.25031521667</v>
      </c>
      <c r="L70" s="10">
        <f>+I70/$M$1</f>
        <v>11497.37872453381</v>
      </c>
    </row>
    <row r="71" spans="1:12" ht="15.75">
      <c r="A71" s="4">
        <v>70</v>
      </c>
      <c r="B71" s="4" t="s">
        <v>5</v>
      </c>
      <c r="C71" s="9" t="s">
        <v>73</v>
      </c>
      <c r="D71" s="6">
        <v>659</v>
      </c>
      <c r="E71" s="6">
        <v>5</v>
      </c>
      <c r="F71" s="6">
        <f t="shared" si="10"/>
        <v>7</v>
      </c>
      <c r="G71" s="7">
        <f>+H71+I71</f>
        <v>91990</v>
      </c>
      <c r="H71" s="7">
        <f t="shared" si="11"/>
        <v>4613</v>
      </c>
      <c r="I71" s="7">
        <f>86377+200+750+50</f>
        <v>87377</v>
      </c>
      <c r="J71" s="10">
        <f t="shared" si="12"/>
        <v>12209.17114606145</v>
      </c>
      <c r="K71" s="10">
        <f t="shared" si="13"/>
        <v>612.25031521667</v>
      </c>
      <c r="L71" s="10">
        <f>+I71/$M$1</f>
        <v>11596.92083084478</v>
      </c>
    </row>
    <row r="72" spans="1:12" ht="15.75">
      <c r="A72" s="4">
        <v>71</v>
      </c>
      <c r="B72" s="4" t="s">
        <v>5</v>
      </c>
      <c r="C72" s="9" t="s">
        <v>74</v>
      </c>
      <c r="D72" s="6">
        <v>659</v>
      </c>
      <c r="E72" s="6">
        <v>5</v>
      </c>
      <c r="F72" s="6">
        <f t="shared" si="10"/>
        <v>7</v>
      </c>
      <c r="G72" s="7">
        <f>+H72+I72</f>
        <v>94240</v>
      </c>
      <c r="H72" s="7">
        <f t="shared" si="11"/>
        <v>4613</v>
      </c>
      <c r="I72" s="7">
        <f>86377+200+3000+50</f>
        <v>89627</v>
      </c>
      <c r="J72" s="10">
        <f t="shared" si="12"/>
        <v>12507.797464994359</v>
      </c>
      <c r="K72" s="10">
        <f t="shared" si="13"/>
        <v>612.25031521667</v>
      </c>
      <c r="L72" s="10">
        <f>+I72/$M$1</f>
        <v>11895.547149777689</v>
      </c>
    </row>
    <row r="73" spans="1:12" ht="15.75">
      <c r="A73" s="4">
        <v>72</v>
      </c>
      <c r="B73" s="4" t="s">
        <v>5</v>
      </c>
      <c r="C73" s="9" t="s">
        <v>58</v>
      </c>
      <c r="D73" s="6">
        <v>659</v>
      </c>
      <c r="E73" s="6">
        <v>5</v>
      </c>
      <c r="F73" s="6">
        <f t="shared" si="10"/>
        <v>7</v>
      </c>
      <c r="G73" s="7">
        <f>+H73+I73</f>
        <v>94740</v>
      </c>
      <c r="H73" s="7">
        <f t="shared" si="11"/>
        <v>4613</v>
      </c>
      <c r="I73" s="7">
        <f>89877+200+50</f>
        <v>90127</v>
      </c>
      <c r="J73" s="10">
        <f t="shared" si="12"/>
        <v>12574.158869201672</v>
      </c>
      <c r="K73" s="10">
        <f t="shared" si="13"/>
        <v>612.25031521667</v>
      </c>
      <c r="L73" s="10">
        <f>+I73/$M$1</f>
        <v>11961.908553985002</v>
      </c>
    </row>
    <row r="74" spans="1:12" ht="15.75">
      <c r="A74" s="4">
        <v>73</v>
      </c>
      <c r="B74" s="4" t="s">
        <v>5</v>
      </c>
      <c r="C74" s="9" t="s">
        <v>59</v>
      </c>
      <c r="D74" s="6">
        <v>659</v>
      </c>
      <c r="E74" s="6">
        <v>5</v>
      </c>
      <c r="F74" s="6">
        <f t="shared" si="10"/>
        <v>7</v>
      </c>
      <c r="G74" s="7">
        <f>+H74+I74</f>
        <v>99240</v>
      </c>
      <c r="H74" s="7">
        <f t="shared" si="11"/>
        <v>4613</v>
      </c>
      <c r="I74" s="7">
        <f>94377+200+50</f>
        <v>94627</v>
      </c>
      <c r="J74" s="10">
        <f t="shared" si="12"/>
        <v>13171.411507067489</v>
      </c>
      <c r="K74" s="10">
        <f t="shared" si="13"/>
        <v>612.25031521667</v>
      </c>
      <c r="L74" s="10">
        <f>+I74/$M$1</f>
        <v>12559.161191850819</v>
      </c>
    </row>
    <row r="75" spans="1:12" ht="15.75">
      <c r="A75" s="4">
        <v>74</v>
      </c>
      <c r="B75" s="4" t="s">
        <v>5</v>
      </c>
      <c r="C75" s="9" t="s">
        <v>14</v>
      </c>
      <c r="D75" s="6">
        <v>1077</v>
      </c>
      <c r="E75" s="6">
        <v>5</v>
      </c>
      <c r="F75" s="6">
        <f t="shared" si="10"/>
        <v>10</v>
      </c>
      <c r="G75" s="7">
        <f>+H75+I75</f>
        <v>139940</v>
      </c>
      <c r="H75" s="7">
        <f>D75*F75</f>
        <v>10770</v>
      </c>
      <c r="I75" s="7">
        <f>128920+200+50</f>
        <v>129170</v>
      </c>
      <c r="J75" s="10">
        <f t="shared" si="12"/>
        <v>18573.22980954277</v>
      </c>
      <c r="K75" s="10">
        <f t="shared" si="13"/>
        <v>1429.4246466255224</v>
      </c>
      <c r="L75" s="10">
        <f>+I75/$M$1</f>
        <v>17143.805162917248</v>
      </c>
    </row>
    <row r="76" spans="1:12" ht="15.75">
      <c r="A76" s="4">
        <v>75</v>
      </c>
      <c r="B76" s="4" t="s">
        <v>5</v>
      </c>
      <c r="C76" s="9" t="s">
        <v>15</v>
      </c>
      <c r="D76" s="6">
        <v>1077</v>
      </c>
      <c r="E76" s="6">
        <v>5</v>
      </c>
      <c r="F76" s="6">
        <f t="shared" si="10"/>
        <v>10</v>
      </c>
      <c r="G76" s="7">
        <f>+H76+I76</f>
        <v>158840</v>
      </c>
      <c r="H76" s="7">
        <f>D76*F76</f>
        <v>10770</v>
      </c>
      <c r="I76" s="7">
        <f>147820+200+50</f>
        <v>148070</v>
      </c>
      <c r="J76" s="10">
        <f t="shared" si="12"/>
        <v>21081.6908885792</v>
      </c>
      <c r="K76" s="10">
        <f t="shared" si="13"/>
        <v>1429.4246466255224</v>
      </c>
      <c r="L76" s="10">
        <f>+I76/$M$1</f>
        <v>19652.26624195368</v>
      </c>
    </row>
    <row r="77" spans="1:12" ht="15.75">
      <c r="A77" s="4">
        <v>76</v>
      </c>
      <c r="B77" s="4" t="s">
        <v>5</v>
      </c>
      <c r="C77" s="9" t="s">
        <v>28</v>
      </c>
      <c r="D77" s="6">
        <v>1099</v>
      </c>
      <c r="E77" s="6">
        <v>5</v>
      </c>
      <c r="F77" s="6">
        <f t="shared" si="10"/>
        <v>10</v>
      </c>
      <c r="G77" s="7">
        <f>+H77+I77</f>
        <v>168140</v>
      </c>
      <c r="H77" s="7">
        <f t="shared" si="11"/>
        <v>10990</v>
      </c>
      <c r="I77" s="7">
        <f>156900+200+50</f>
        <v>157150</v>
      </c>
      <c r="J77" s="10">
        <f t="shared" si="12"/>
        <v>22316.013006835223</v>
      </c>
      <c r="K77" s="10">
        <f t="shared" si="13"/>
        <v>1458.6236644767403</v>
      </c>
      <c r="L77" s="10">
        <f>+I77/$M$1</f>
        <v>20857.38934235848</v>
      </c>
    </row>
    <row r="78" spans="1:12" ht="15.75">
      <c r="A78" s="4">
        <v>77</v>
      </c>
      <c r="B78" s="4" t="s">
        <v>5</v>
      </c>
      <c r="C78" s="9" t="s">
        <v>29</v>
      </c>
      <c r="D78" s="6">
        <v>1099</v>
      </c>
      <c r="E78" s="6">
        <v>5</v>
      </c>
      <c r="F78" s="6">
        <f t="shared" si="10"/>
        <v>10</v>
      </c>
      <c r="G78" s="7">
        <f>+H78+I78</f>
        <v>197740</v>
      </c>
      <c r="H78" s="7">
        <f t="shared" si="11"/>
        <v>10990</v>
      </c>
      <c r="I78" s="7">
        <f>186500+200+50</f>
        <v>186750</v>
      </c>
      <c r="J78" s="10">
        <f t="shared" si="12"/>
        <v>26244.608135908155</v>
      </c>
      <c r="K78" s="10">
        <f t="shared" si="13"/>
        <v>1458.6236644767403</v>
      </c>
      <c r="L78" s="10">
        <f>+I78/$M$1</f>
        <v>24785.984471431413</v>
      </c>
    </row>
    <row r="79" spans="1:12" ht="15.75">
      <c r="A79" s="4">
        <v>78</v>
      </c>
      <c r="B79" s="4" t="s">
        <v>6</v>
      </c>
      <c r="C79" s="9" t="s">
        <v>26</v>
      </c>
      <c r="D79" s="6">
        <v>853</v>
      </c>
      <c r="E79" s="6">
        <v>5</v>
      </c>
      <c r="F79" s="6">
        <f t="shared" si="10"/>
        <v>8</v>
      </c>
      <c r="G79" s="7">
        <f>+H79+I79</f>
        <v>75240</v>
      </c>
      <c r="H79" s="7">
        <f t="shared" si="11"/>
        <v>6824</v>
      </c>
      <c r="I79" s="7">
        <f>68166+200+50</f>
        <v>68416</v>
      </c>
      <c r="J79" s="10">
        <f t="shared" si="12"/>
        <v>9986.064105116464</v>
      </c>
      <c r="K79" s="10">
        <f t="shared" si="13"/>
        <v>905.7004446214081</v>
      </c>
      <c r="L79" s="10">
        <f>+I79/$M$1</f>
        <v>9080.363660495055</v>
      </c>
    </row>
    <row r="80" spans="1:12" ht="15.75">
      <c r="A80" s="4">
        <v>79</v>
      </c>
      <c r="B80" s="4" t="s">
        <v>6</v>
      </c>
      <c r="C80" s="9" t="s">
        <v>27</v>
      </c>
      <c r="D80" s="6">
        <v>853</v>
      </c>
      <c r="E80" s="6">
        <v>5</v>
      </c>
      <c r="F80" s="6">
        <f t="shared" si="10"/>
        <v>8</v>
      </c>
      <c r="G80" s="7">
        <f>+H80+I80</f>
        <v>78800</v>
      </c>
      <c r="H80" s="7">
        <f t="shared" si="11"/>
        <v>6824</v>
      </c>
      <c r="I80" s="7">
        <f>71726+200+50</f>
        <v>71976</v>
      </c>
      <c r="J80" s="10">
        <f t="shared" si="12"/>
        <v>10458.557303072532</v>
      </c>
      <c r="K80" s="10">
        <f t="shared" si="13"/>
        <v>905.7004446214081</v>
      </c>
      <c r="L80" s="10">
        <f>+I80/$M$1</f>
        <v>9552.856858451125</v>
      </c>
    </row>
    <row r="81" spans="1:12" ht="15.75">
      <c r="A81" s="4">
        <v>80</v>
      </c>
      <c r="B81" s="4" t="s">
        <v>6</v>
      </c>
      <c r="C81" s="9" t="s">
        <v>89</v>
      </c>
      <c r="D81" s="6">
        <v>853</v>
      </c>
      <c r="E81" s="6">
        <v>5</v>
      </c>
      <c r="F81" s="6">
        <f t="shared" si="10"/>
        <v>8</v>
      </c>
      <c r="G81" s="7">
        <f>+H81+I81</f>
        <v>82790</v>
      </c>
      <c r="H81" s="7">
        <f t="shared" si="11"/>
        <v>6824</v>
      </c>
      <c r="I81" s="7">
        <f>68166+200+50+7550</f>
        <v>75966</v>
      </c>
      <c r="J81" s="10">
        <f t="shared" si="12"/>
        <v>10988.12130864689</v>
      </c>
      <c r="K81" s="10">
        <f t="shared" si="13"/>
        <v>905.7004446214081</v>
      </c>
      <c r="L81" s="10">
        <f>+I81/$M$1</f>
        <v>10082.420864025482</v>
      </c>
    </row>
    <row r="82" spans="1:12" ht="15.75">
      <c r="A82" s="4">
        <v>81</v>
      </c>
      <c r="B82" s="4" t="s">
        <v>6</v>
      </c>
      <c r="C82" s="9" t="s">
        <v>75</v>
      </c>
      <c r="D82" s="6">
        <v>853</v>
      </c>
      <c r="E82" s="6">
        <v>5</v>
      </c>
      <c r="F82" s="6">
        <f t="shared" si="10"/>
        <v>8</v>
      </c>
      <c r="G82" s="7">
        <f>+H82+I82</f>
        <v>86240</v>
      </c>
      <c r="H82" s="7">
        <f t="shared" si="11"/>
        <v>6824</v>
      </c>
      <c r="I82" s="7">
        <f>82266+200-3100+50</f>
        <v>79416</v>
      </c>
      <c r="J82" s="10">
        <f t="shared" si="12"/>
        <v>11446.01499767735</v>
      </c>
      <c r="K82" s="10">
        <f t="shared" si="13"/>
        <v>905.7004446214081</v>
      </c>
      <c r="L82" s="10">
        <f>+I82/$M$1</f>
        <v>10540.314553055941</v>
      </c>
    </row>
    <row r="83" spans="1:12" ht="15.75">
      <c r="A83" s="4">
        <v>82</v>
      </c>
      <c r="B83" s="4" t="s">
        <v>6</v>
      </c>
      <c r="C83" s="9" t="s">
        <v>11</v>
      </c>
      <c r="D83" s="6">
        <v>853</v>
      </c>
      <c r="E83" s="6">
        <v>5</v>
      </c>
      <c r="F83" s="6">
        <f t="shared" si="10"/>
        <v>8</v>
      </c>
      <c r="G83" s="7">
        <f>+H83+I83</f>
        <v>89340</v>
      </c>
      <c r="H83" s="7">
        <f t="shared" si="11"/>
        <v>6824</v>
      </c>
      <c r="I83" s="7">
        <f>82266+200+50</f>
        <v>82516</v>
      </c>
      <c r="J83" s="10">
        <f t="shared" si="12"/>
        <v>11857.455703762691</v>
      </c>
      <c r="K83" s="10">
        <f t="shared" si="13"/>
        <v>905.7004446214081</v>
      </c>
      <c r="L83" s="10">
        <f>+I83/$M$1</f>
        <v>10951.755259141282</v>
      </c>
    </row>
    <row r="84" spans="1:12" ht="15.75">
      <c r="A84" s="4">
        <v>83</v>
      </c>
      <c r="B84" s="4" t="s">
        <v>6</v>
      </c>
      <c r="C84" s="9" t="s">
        <v>76</v>
      </c>
      <c r="D84" s="6">
        <v>853</v>
      </c>
      <c r="E84" s="6">
        <v>5</v>
      </c>
      <c r="F84" s="6">
        <f t="shared" si="10"/>
        <v>8</v>
      </c>
      <c r="G84" s="7">
        <f>+H84+I84</f>
        <v>97440</v>
      </c>
      <c r="H84" s="7">
        <f>D84*F84</f>
        <v>6824</v>
      </c>
      <c r="I84" s="7">
        <f>90366+200+50</f>
        <v>90616</v>
      </c>
      <c r="J84" s="10">
        <f t="shared" si="12"/>
        <v>12932.510451921162</v>
      </c>
      <c r="K84" s="10">
        <f t="shared" si="13"/>
        <v>905.7004446214081</v>
      </c>
      <c r="L84" s="10">
        <f>+I84/$M$1</f>
        <v>12026.810007299753</v>
      </c>
    </row>
    <row r="85" spans="1:12" ht="15.75">
      <c r="A85" s="4">
        <v>84</v>
      </c>
      <c r="B85" s="4" t="s">
        <v>6</v>
      </c>
      <c r="C85" s="9" t="s">
        <v>77</v>
      </c>
      <c r="D85" s="6">
        <v>853</v>
      </c>
      <c r="E85" s="6">
        <v>5</v>
      </c>
      <c r="F85" s="6">
        <f t="shared" si="10"/>
        <v>8</v>
      </c>
      <c r="G85" s="7">
        <f>+H85+I85</f>
        <v>98940</v>
      </c>
      <c r="H85" s="7">
        <f aca="true" t="shared" si="14" ref="H85">D85*F85</f>
        <v>6824</v>
      </c>
      <c r="I85" s="7">
        <f>91866+200+50</f>
        <v>92116</v>
      </c>
      <c r="J85" s="10">
        <f t="shared" si="12"/>
        <v>13131.594664543101</v>
      </c>
      <c r="K85" s="10">
        <f t="shared" si="13"/>
        <v>905.7004446214081</v>
      </c>
      <c r="L85" s="10">
        <f>+I85/$M$1</f>
        <v>12225.894219921693</v>
      </c>
    </row>
    <row r="86" spans="1:12" ht="15.75">
      <c r="A86" s="4">
        <v>85</v>
      </c>
      <c r="B86" s="4" t="s">
        <v>6</v>
      </c>
      <c r="C86" s="9" t="s">
        <v>78</v>
      </c>
      <c r="D86" s="6">
        <v>853</v>
      </c>
      <c r="E86" s="6">
        <v>5</v>
      </c>
      <c r="F86" s="6">
        <f aca="true" t="shared" si="15" ref="F86:F89">IF(D86&lt;=50,0,IF(AND(D86&gt;51,D86&lt;=125),4,IF(AND(D86&gt;126,D86&lt;=300),6,IF(AND(D86&gt;301,D86&lt;=700),7,IF(AND(D86&gt;701,D86&lt;=1000),8,IF((D86&gt;1001),10,0))))))+IF(D86&lt;=50,0,IF(E86=1,15,IF(E86=2,10,IF(E86=3,5,0))))</f>
        <v>8</v>
      </c>
      <c r="G86" s="7">
        <f>+H86+I86</f>
        <v>110240</v>
      </c>
      <c r="H86" s="7">
        <f aca="true" t="shared" si="16" ref="H86:H89">D86*F86</f>
        <v>6824</v>
      </c>
      <c r="I86" s="7">
        <f>103166+200+50</f>
        <v>103416</v>
      </c>
      <c r="J86" s="10">
        <f aca="true" t="shared" si="17" ref="J86:J87">+G86/$M$1</f>
        <v>14631.362399628375</v>
      </c>
      <c r="K86" s="10">
        <f aca="true" t="shared" si="18" ref="K86:K87">+H86/$M$1</f>
        <v>905.7004446214081</v>
      </c>
      <c r="L86" s="10">
        <f>+I86/$M$1</f>
        <v>13725.661955006966</v>
      </c>
    </row>
    <row r="87" spans="1:12" ht="15.75">
      <c r="A87" s="4">
        <v>86</v>
      </c>
      <c r="B87" s="4" t="s">
        <v>6</v>
      </c>
      <c r="C87" s="9" t="s">
        <v>79</v>
      </c>
      <c r="D87" s="6">
        <v>853</v>
      </c>
      <c r="E87" s="6">
        <v>5</v>
      </c>
      <c r="F87" s="6">
        <f t="shared" si="15"/>
        <v>8</v>
      </c>
      <c r="G87" s="7">
        <f>+H87+I87</f>
        <v>110240</v>
      </c>
      <c r="H87" s="7">
        <f t="shared" si="16"/>
        <v>6824</v>
      </c>
      <c r="I87" s="7">
        <f>99166+200+4000+50</f>
        <v>103416</v>
      </c>
      <c r="J87" s="10">
        <f t="shared" si="17"/>
        <v>14631.362399628375</v>
      </c>
      <c r="K87" s="10">
        <f t="shared" si="18"/>
        <v>905.7004446214081</v>
      </c>
      <c r="L87" s="10">
        <f>+I87/$M$1</f>
        <v>13725.661955006966</v>
      </c>
    </row>
    <row r="88" spans="1:12" ht="15.75">
      <c r="A88" s="4">
        <v>87</v>
      </c>
      <c r="B88" s="4" t="s">
        <v>6</v>
      </c>
      <c r="C88" s="9" t="s">
        <v>93</v>
      </c>
      <c r="D88" s="6">
        <v>1042</v>
      </c>
      <c r="E88" s="6">
        <v>5</v>
      </c>
      <c r="F88" s="6">
        <f t="shared" si="15"/>
        <v>10</v>
      </c>
      <c r="G88" s="7">
        <f>+H88+I88</f>
        <v>127325.52</v>
      </c>
      <c r="H88" s="7">
        <f t="shared" si="16"/>
        <v>10420</v>
      </c>
      <c r="I88" s="7">
        <v>116905.52</v>
      </c>
      <c r="J88" s="10">
        <f t="shared" si="12"/>
        <v>16899.000597252638</v>
      </c>
      <c r="K88" s="10">
        <f t="shared" si="13"/>
        <v>1382.9716636804035</v>
      </c>
      <c r="L88" s="10">
        <f>+I88/$M$1</f>
        <v>15516.028933572234</v>
      </c>
    </row>
    <row r="89" spans="1:12" ht="15.75">
      <c r="A89" s="4">
        <v>88</v>
      </c>
      <c r="B89" s="4" t="s">
        <v>6</v>
      </c>
      <c r="C89" s="9" t="s">
        <v>94</v>
      </c>
      <c r="D89" s="6">
        <v>1042</v>
      </c>
      <c r="E89" s="6">
        <v>5</v>
      </c>
      <c r="F89" s="6">
        <f t="shared" si="15"/>
        <v>10</v>
      </c>
      <c r="G89" s="7">
        <f>+H89+I89</f>
        <v>146161.77</v>
      </c>
      <c r="H89" s="7">
        <f t="shared" si="16"/>
        <v>10420</v>
      </c>
      <c r="I89" s="7">
        <v>135741.77</v>
      </c>
      <c r="J89" s="10">
        <f t="shared" si="12"/>
        <v>19399.000597252634</v>
      </c>
      <c r="K89" s="10">
        <f t="shared" si="13"/>
        <v>1382.9716636804035</v>
      </c>
      <c r="L89" s="10">
        <f>+I89/$M$1</f>
        <v>18016.028933572234</v>
      </c>
    </row>
    <row r="90" spans="1:9" ht="15">
      <c r="A90" s="11" t="s">
        <v>42</v>
      </c>
      <c r="B90" s="11"/>
      <c r="C90" s="11"/>
      <c r="D90" s="11"/>
      <c r="E90" s="11"/>
      <c r="F90" s="11"/>
      <c r="G90" s="11"/>
      <c r="H90" s="11"/>
      <c r="I90" s="11"/>
    </row>
    <row r="93" ht="15">
      <c r="C93" s="1"/>
    </row>
  </sheetData>
  <mergeCells count="1">
    <mergeCell ref="A90:I90"/>
  </mergeCells>
  <printOptions horizontalCentered="1"/>
  <pageMargins left="0.2362204724409449" right="0.2362204724409449" top="1.141732283464567" bottom="0.7480314960629921" header="0.31496062992125984" footer="0.31496062992125984"/>
  <pageSetup fitToHeight="1" fitToWidth="1" horizontalDpi="1200" verticalDpi="1200" orientation="portrait" paperSize="9" scale="40" r:id="rId2"/>
  <headerFooter>
    <oddHeader>&amp;L&amp;G</oddHeader>
    <oddFooter>&amp;C
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jzuanic</dc:creator>
  <cp:keywords/>
  <dc:description/>
  <cp:lastModifiedBy>Ivo</cp:lastModifiedBy>
  <cp:lastPrinted>2022-11-30T08:48:19Z</cp:lastPrinted>
  <dcterms:created xsi:type="dcterms:W3CDTF">2013-06-18T14:17:07Z</dcterms:created>
  <dcterms:modified xsi:type="dcterms:W3CDTF">2022-12-13T15:07:39Z</dcterms:modified>
  <cp:category/>
  <cp:version/>
  <cp:contentType/>
  <cp:contentStatus/>
</cp:coreProperties>
</file>